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Test" sheetId="1" r:id="rId5"/>
    <sheet state="visible" name="Summary" sheetId="2" r:id="rId6"/>
    <sheet state="visible" name="Summary Updated" sheetId="3" r:id="rId7"/>
    <sheet state="visible" name="Elligible Training Institutes R" sheetId="4" r:id="rId8"/>
    <sheet state="visible" name="SR NET Software Tracker" sheetId="5" r:id="rId9"/>
    <sheet state="visible" name="Unverified Institutes" sheetId="6" r:id="rId10"/>
    <sheet state="visible" name="Tech PoCs Contact Details" sheetId="7" r:id="rId11"/>
    <sheet state="hidden" name="Private Unverified Institutes" sheetId="8" r:id="rId12"/>
    <sheet state="hidden" name="Pivot Table 1" sheetId="9" r:id="rId13"/>
    <sheet state="visible" name="20221102 Verified Institutes" sheetId="10" r:id="rId14"/>
    <sheet state="hidden" name="Unverified Private Institutes" sheetId="11" r:id="rId15"/>
    <sheet state="visible" name="Final List" sheetId="12" r:id="rId16"/>
    <sheet state="visible" name="Exam Centers" sheetId="13" r:id="rId17"/>
    <sheet state="visible" name="20221105 Unverified" sheetId="14" r:id="rId18"/>
    <sheet state="visible" name="Other Training Institutes" sheetId="15" r:id="rId19"/>
    <sheet state="visible" name="Geotagging Master All-Training " sheetId="16" r:id="rId20"/>
    <sheet state="visible" name="Students Number in Institutes" sheetId="17" r:id="rId21"/>
  </sheets>
  <definedNames>
    <definedName hidden="1" localSheetId="0" name="_xlnm._FilterDatabase">Test!$A$7:$P$599</definedName>
    <definedName hidden="1" localSheetId="4" name="_xlnm._FilterDatabase">'SR NET Software Tracker'!$A$5:$N$17</definedName>
    <definedName hidden="1" localSheetId="5" name="_xlnm._FilterDatabase">'Unverified Institutes'!$A$6:$I$574</definedName>
    <definedName hidden="1" localSheetId="6" name="_xlnm._FilterDatabase">'Tech PoCs Contact Details'!$A$5:$J$48</definedName>
    <definedName hidden="1" localSheetId="7" name="_xlnm._FilterDatabase">'Private Unverified Institutes'!$A$5:$H$595</definedName>
    <definedName hidden="1" localSheetId="9" name="_xlnm._FilterDatabase">'20221102 Verified Institutes'!$A$8:$T$95</definedName>
    <definedName hidden="1" localSheetId="10" name="_xlnm._FilterDatabase">'Unverified Private Institutes'!$A$8:$Q$595</definedName>
    <definedName hidden="1" localSheetId="11" name="_xlnm._FilterDatabase">'Final List'!$A$8:$I$17</definedName>
    <definedName hidden="1" localSheetId="12" name="_xlnm._FilterDatabase">'Exam Centers'!$A$6:$I$20</definedName>
    <definedName hidden="1" localSheetId="13" name="_xlnm._FilterDatabase">'20221105 Unverified'!$A$5:$G$575</definedName>
    <definedName hidden="1" localSheetId="3" name="Z_4CDEB16D_957F_46E0_B073_82BA58078811_.wvu.FilterData">'Elligible Training Institutes R'!$A$8:$S$19</definedName>
    <definedName hidden="1" localSheetId="5" name="Z_4CDEB16D_957F_46E0_B073_82BA58078811_.wvu.FilterData">'Unverified Institutes'!$A$6:$I$574</definedName>
    <definedName hidden="1" localSheetId="6" name="Z_4CDEB16D_957F_46E0_B073_82BA58078811_.wvu.FilterData">'Tech PoCs Contact Details'!$A$5:$J$48</definedName>
    <definedName hidden="1" localSheetId="7" name="Z_4CDEB16D_957F_46E0_B073_82BA58078811_.wvu.FilterData">'Private Unverified Institutes'!$A$5:$H$595</definedName>
    <definedName hidden="1" localSheetId="9" name="Z_4CDEB16D_957F_46E0_B073_82BA58078811_.wvu.FilterData">'20221102 Verified Institutes'!$A$8:$T$95</definedName>
    <definedName hidden="1" localSheetId="11" name="Z_4CDEB16D_957F_46E0_B073_82BA58078811_.wvu.FilterData">'Final List'!$A$8:$I$17</definedName>
    <definedName hidden="1" localSheetId="12" name="Z_4CDEB16D_957F_46E0_B073_82BA58078811_.wvu.FilterData">'Exam Centers'!$A$6:$H$20</definedName>
    <definedName hidden="1" localSheetId="13" name="Z_4CDEB16D_957F_46E0_B073_82BA58078811_.wvu.FilterData">'20221105 Unverified'!$A$5:$G$575</definedName>
    <definedName hidden="1" localSheetId="3" name="Z_3244BD90_1F1B_49B1_9805_E2AEEAC5DF7E_.wvu.FilterData">'Elligible Training Institutes R'!$A$8:$R$19</definedName>
    <definedName hidden="1" localSheetId="4" name="Z_3244BD90_1F1B_49B1_9805_E2AEEAC5DF7E_.wvu.FilterData">'SR NET Software Tracker'!$A$5:$N$17</definedName>
    <definedName hidden="1" localSheetId="5" name="Z_3244BD90_1F1B_49B1_9805_E2AEEAC5DF7E_.wvu.FilterData">'Unverified Institutes'!$A$6:$I$574</definedName>
    <definedName hidden="1" localSheetId="6" name="Z_3244BD90_1F1B_49B1_9805_E2AEEAC5DF7E_.wvu.FilterData">'Tech PoCs Contact Details'!$A$5:$J$48</definedName>
    <definedName hidden="1" localSheetId="7" name="Z_3244BD90_1F1B_49B1_9805_E2AEEAC5DF7E_.wvu.FilterData">'Private Unverified Institutes'!$A$5:$H$595</definedName>
    <definedName hidden="1" localSheetId="9" name="Z_3244BD90_1F1B_49B1_9805_E2AEEAC5DF7E_.wvu.FilterData">'20221102 Verified Institutes'!$A$8:$R$95</definedName>
    <definedName hidden="1" localSheetId="10" name="Z_3244BD90_1F1B_49B1_9805_E2AEEAC5DF7E_.wvu.FilterData">'Unverified Private Institutes'!$A$8:$Q$595</definedName>
    <definedName hidden="1" localSheetId="11" name="Z_3244BD90_1F1B_49B1_9805_E2AEEAC5DF7E_.wvu.FilterData">'Final List'!$A$8:$I$17</definedName>
    <definedName hidden="1" localSheetId="12" name="Z_3244BD90_1F1B_49B1_9805_E2AEEAC5DF7E_.wvu.FilterData">'Exam Centers'!$A$6:$G$20</definedName>
    <definedName hidden="1" localSheetId="13" name="Z_3244BD90_1F1B_49B1_9805_E2AEEAC5DF7E_.wvu.FilterData">'20221105 Unverified'!$A$5:$G$575</definedName>
    <definedName hidden="1" localSheetId="3" name="Z_F6486A42_65B9_45A0_BAFA_8CD661D4DF5E_.wvu.FilterData">'Elligible Training Institutes R'!$A$8:$T$19</definedName>
    <definedName hidden="1" localSheetId="3" name="Z_55429418_C5E5_48EC_BE8C_D5FCDB9B5FF0_.wvu.FilterData">'Elligible Training Institutes R'!$A$8:$R$19</definedName>
    <definedName hidden="1" localSheetId="4" name="Z_55429418_C5E5_48EC_BE8C_D5FCDB9B5FF0_.wvu.FilterData">'SR NET Software Tracker'!$A$5:$N$17</definedName>
    <definedName hidden="1" localSheetId="5" name="Z_55429418_C5E5_48EC_BE8C_D5FCDB9B5FF0_.wvu.FilterData">'Unverified Institutes'!$A$6:$I$574</definedName>
    <definedName hidden="1" localSheetId="6" name="Z_55429418_C5E5_48EC_BE8C_D5FCDB9B5FF0_.wvu.FilterData">'Tech PoCs Contact Details'!$A$5:$J$48</definedName>
    <definedName hidden="1" localSheetId="7" name="Z_55429418_C5E5_48EC_BE8C_D5FCDB9B5FF0_.wvu.FilterData">'Private Unverified Institutes'!$A$5:$H$595</definedName>
    <definedName hidden="1" localSheetId="9" name="Z_55429418_C5E5_48EC_BE8C_D5FCDB9B5FF0_.wvu.FilterData">'20221102 Verified Institutes'!$A$8:$R$95</definedName>
    <definedName hidden="1" localSheetId="10" name="Z_55429418_C5E5_48EC_BE8C_D5FCDB9B5FF0_.wvu.FilterData">'Unverified Private Institutes'!$A$8:$Q$595</definedName>
    <definedName hidden="1" localSheetId="11" name="Z_55429418_C5E5_48EC_BE8C_D5FCDB9B5FF0_.wvu.FilterData">'Final List'!$A$8:$I$17</definedName>
    <definedName hidden="1" localSheetId="12" name="Z_55429418_C5E5_48EC_BE8C_D5FCDB9B5FF0_.wvu.FilterData">'Exam Centers'!$A$6:$G$20</definedName>
    <definedName hidden="1" localSheetId="13" name="Z_55429418_C5E5_48EC_BE8C_D5FCDB9B5FF0_.wvu.FilterData">'20221105 Unverified'!$A$5:$G$575</definedName>
    <definedName hidden="1" localSheetId="3" name="Z_89D674A9_5E02_46F3_8EAE_C90AAEBD18CB_.wvu.FilterData">'Elligible Training Institutes R'!$A$8:$R$19</definedName>
    <definedName hidden="1" localSheetId="4" name="Z_89D674A9_5E02_46F3_8EAE_C90AAEBD18CB_.wvu.FilterData">'SR NET Software Tracker'!$A$5:$N$17</definedName>
    <definedName hidden="1" localSheetId="5" name="Z_89D674A9_5E02_46F3_8EAE_C90AAEBD18CB_.wvu.FilterData">'Unverified Institutes'!$A$6:$I$574</definedName>
    <definedName hidden="1" localSheetId="6" name="Z_89D674A9_5E02_46F3_8EAE_C90AAEBD18CB_.wvu.FilterData">'Tech PoCs Contact Details'!$A$5:$J$48</definedName>
    <definedName hidden="1" localSheetId="7" name="Z_89D674A9_5E02_46F3_8EAE_C90AAEBD18CB_.wvu.FilterData">'Private Unverified Institutes'!$A$5:$H$595</definedName>
    <definedName hidden="1" localSheetId="9" name="Z_89D674A9_5E02_46F3_8EAE_C90AAEBD18CB_.wvu.FilterData">'20221102 Verified Institutes'!$A$8:$R$95</definedName>
    <definedName hidden="1" localSheetId="10" name="Z_89D674A9_5E02_46F3_8EAE_C90AAEBD18CB_.wvu.FilterData">'Unverified Private Institutes'!$A$8:$Q$595</definedName>
    <definedName hidden="1" localSheetId="11" name="Z_89D674A9_5E02_46F3_8EAE_C90AAEBD18CB_.wvu.FilterData">'Final List'!$A$8:$I$17</definedName>
    <definedName hidden="1" localSheetId="12" name="Z_89D674A9_5E02_46F3_8EAE_C90AAEBD18CB_.wvu.FilterData">'Exam Centers'!$A$6:$G$20</definedName>
    <definedName hidden="1" localSheetId="13" name="Z_89D674A9_5E02_46F3_8EAE_C90AAEBD18CB_.wvu.FilterData">'20221105 Unverified'!$A$5:$G$575</definedName>
    <definedName hidden="1" localSheetId="3" name="Z_4B942B8B_C855_402E_B1CA_C99DA2CDE73C_.wvu.FilterData">'Elligible Training Institutes R'!$A$8:$R$19</definedName>
    <definedName hidden="1" localSheetId="4" name="Z_4B942B8B_C855_402E_B1CA_C99DA2CDE73C_.wvu.FilterData">'SR NET Software Tracker'!$A$5:$N$17</definedName>
    <definedName hidden="1" localSheetId="5" name="Z_4B942B8B_C855_402E_B1CA_C99DA2CDE73C_.wvu.FilterData">'Unverified Institutes'!$A$6:$I$574</definedName>
    <definedName hidden="1" localSheetId="6" name="Z_4B942B8B_C855_402E_B1CA_C99DA2CDE73C_.wvu.FilterData">'Tech PoCs Contact Details'!$A$5:$J$48</definedName>
    <definedName hidden="1" localSheetId="7" name="Z_4B942B8B_C855_402E_B1CA_C99DA2CDE73C_.wvu.FilterData">'Private Unverified Institutes'!$A$5:$H$595</definedName>
    <definedName hidden="1" localSheetId="9" name="Z_4B942B8B_C855_402E_B1CA_C99DA2CDE73C_.wvu.FilterData">'20221102 Verified Institutes'!$A$8:$R$95</definedName>
    <definedName hidden="1" localSheetId="10" name="Z_4B942B8B_C855_402E_B1CA_C99DA2CDE73C_.wvu.FilterData">'Unverified Private Institutes'!$A$8:$Q$595</definedName>
    <definedName hidden="1" localSheetId="11" name="Z_4B942B8B_C855_402E_B1CA_C99DA2CDE73C_.wvu.FilterData">'Final List'!$A$8:$I$17</definedName>
    <definedName hidden="1" localSheetId="12" name="Z_4B942B8B_C855_402E_B1CA_C99DA2CDE73C_.wvu.FilterData">'Exam Centers'!$A$6:$G$20</definedName>
    <definedName hidden="1" localSheetId="13" name="Z_4B942B8B_C855_402E_B1CA_C99DA2CDE73C_.wvu.FilterData">'20221105 Unverified'!$A$5:$G$575</definedName>
    <definedName hidden="1" localSheetId="3" name="Z_8D321D32_C538_4F99_A133_732AA9E194E7_.wvu.FilterData">'Elligible Training Institutes R'!$A$8:$R$19</definedName>
    <definedName hidden="1" localSheetId="5" name="Z_8D321D32_C538_4F99_A133_732AA9E194E7_.wvu.FilterData">'Unverified Institutes'!$A$6:$I$574</definedName>
    <definedName hidden="1" localSheetId="6" name="Z_8D321D32_C538_4F99_A133_732AA9E194E7_.wvu.FilterData">'Tech PoCs Contact Details'!$A$5:$J$48</definedName>
    <definedName hidden="1" localSheetId="7" name="Z_8D321D32_C538_4F99_A133_732AA9E194E7_.wvu.FilterData">'Private Unverified Institutes'!$A$5:$H$595</definedName>
    <definedName hidden="1" localSheetId="9" name="Z_8D321D32_C538_4F99_A133_732AA9E194E7_.wvu.FilterData">'20221102 Verified Institutes'!$A$8:$R$95</definedName>
    <definedName hidden="1" localSheetId="10" name="Z_8D321D32_C538_4F99_A133_732AA9E194E7_.wvu.FilterData">'Unverified Private Institutes'!$A$8:$Q$595</definedName>
    <definedName hidden="1" localSheetId="11" name="Z_8D321D32_C538_4F99_A133_732AA9E194E7_.wvu.FilterData">'Final List'!$A$8:$I$17</definedName>
    <definedName hidden="1" localSheetId="12" name="Z_8D321D32_C538_4F99_A133_732AA9E194E7_.wvu.FilterData">'Exam Centers'!$A$6:$G$20</definedName>
    <definedName hidden="1" localSheetId="13" name="Z_8D321D32_C538_4F99_A133_732AA9E194E7_.wvu.FilterData">'20221105 Unverified'!$A$5:$G$575</definedName>
    <definedName hidden="1" localSheetId="3" name="Z_E011813A_1907_4E19_A9F9_B58EB77877E4_.wvu.FilterData">'Elligible Training Institutes R'!$A$8:$R$19</definedName>
    <definedName hidden="1" localSheetId="5" name="Z_E011813A_1907_4E19_A9F9_B58EB77877E4_.wvu.FilterData">'Unverified Institutes'!$A$6:$I$574</definedName>
    <definedName hidden="1" localSheetId="6" name="Z_E011813A_1907_4E19_A9F9_B58EB77877E4_.wvu.FilterData">'Tech PoCs Contact Details'!$A$5:$J$48</definedName>
    <definedName hidden="1" localSheetId="7" name="Z_E011813A_1907_4E19_A9F9_B58EB77877E4_.wvu.FilterData">'Private Unverified Institutes'!$A$5:$H$595</definedName>
    <definedName hidden="1" localSheetId="9" name="Z_E011813A_1907_4E19_A9F9_B58EB77877E4_.wvu.FilterData">'20221102 Verified Institutes'!$A$8:$R$95</definedName>
    <definedName hidden="1" localSheetId="11" name="Z_E011813A_1907_4E19_A9F9_B58EB77877E4_.wvu.FilterData">'Final List'!$A$8:$I$17</definedName>
    <definedName hidden="1" localSheetId="12" name="Z_E011813A_1907_4E19_A9F9_B58EB77877E4_.wvu.FilterData">'Exam Centers'!$A$6:$G$20</definedName>
    <definedName hidden="1" localSheetId="13" name="Z_E011813A_1907_4E19_A9F9_B58EB77877E4_.wvu.FilterData">'20221105 Unverified'!$A$5:$G$575</definedName>
    <definedName hidden="1" localSheetId="3" name="Z_F8C118C5_118F_4E9B_9306_7A818040F34B_.wvu.FilterData">'Elligible Training Institutes R'!$O$3</definedName>
    <definedName hidden="1" localSheetId="5" name="Z_F8C118C5_118F_4E9B_9306_7A818040F34B_.wvu.FilterData">'Unverified Institutes'!$I$3</definedName>
    <definedName hidden="1" localSheetId="6" name="Z_F8C118C5_118F_4E9B_9306_7A818040F34B_.wvu.FilterData">'Tech PoCs Contact Details'!$J$3</definedName>
    <definedName hidden="1" localSheetId="9" name="Z_F8C118C5_118F_4E9B_9306_7A818040F34B_.wvu.FilterData">'20221102 Verified Institutes'!$O$3</definedName>
    <definedName hidden="1" localSheetId="10" name="Z_F8C118C5_118F_4E9B_9306_7A818040F34B_.wvu.FilterData">'Unverified Private Institutes'!$N$3</definedName>
    <definedName hidden="1" localSheetId="3" name="Z_03BA606A_9EF1_488F_B5B6_5F234A109122_.wvu.FilterData">'Elligible Training Institutes R'!$A$8:$R$19</definedName>
    <definedName hidden="1" localSheetId="4" name="Z_03BA606A_9EF1_488F_B5B6_5F234A109122_.wvu.FilterData">'SR NET Software Tracker'!$A$5:$N$17</definedName>
    <definedName hidden="1" localSheetId="5" name="Z_03BA606A_9EF1_488F_B5B6_5F234A109122_.wvu.FilterData">'Unverified Institutes'!$A$6:$I$574</definedName>
    <definedName hidden="1" localSheetId="6" name="Z_03BA606A_9EF1_488F_B5B6_5F234A109122_.wvu.FilterData">'Tech PoCs Contact Details'!$A$5:$J$48</definedName>
    <definedName hidden="1" localSheetId="7" name="Z_03BA606A_9EF1_488F_B5B6_5F234A109122_.wvu.FilterData">'Private Unverified Institutes'!$A$5:$H$595</definedName>
    <definedName hidden="1" localSheetId="9" name="Z_03BA606A_9EF1_488F_B5B6_5F234A109122_.wvu.FilterData">'20221102 Verified Institutes'!$A$8:$R$95</definedName>
    <definedName hidden="1" localSheetId="10" name="Z_03BA606A_9EF1_488F_B5B6_5F234A109122_.wvu.FilterData">'Unverified Private Institutes'!$A$8:$Q$595</definedName>
    <definedName hidden="1" localSheetId="11" name="Z_03BA606A_9EF1_488F_B5B6_5F234A109122_.wvu.FilterData">'Final List'!$A$8:$I$17</definedName>
    <definedName hidden="1" localSheetId="12" name="Z_03BA606A_9EF1_488F_B5B6_5F234A109122_.wvu.FilterData">'Exam Centers'!$A$6:$G$20</definedName>
    <definedName hidden="1" localSheetId="13" name="Z_03BA606A_9EF1_488F_B5B6_5F234A109122_.wvu.FilterData">'20221105 Unverified'!$A$5:$G$575</definedName>
    <definedName hidden="1" localSheetId="3" name="Z_59693195_0373_46FB_A9CA_38C62EF18CBE_.wvu.FilterData">'Elligible Training Institutes R'!$A$8:$R$19</definedName>
    <definedName hidden="1" localSheetId="4" name="Z_59693195_0373_46FB_A9CA_38C62EF18CBE_.wvu.FilterData">'SR NET Software Tracker'!$A$5:$N$17</definedName>
    <definedName hidden="1" localSheetId="5" name="Z_59693195_0373_46FB_A9CA_38C62EF18CBE_.wvu.FilterData">'Unverified Institutes'!$A$6:$I$574</definedName>
    <definedName hidden="1" localSheetId="6" name="Z_59693195_0373_46FB_A9CA_38C62EF18CBE_.wvu.FilterData">'Tech PoCs Contact Details'!$A$5:$J$48</definedName>
    <definedName hidden="1" localSheetId="7" name="Z_59693195_0373_46FB_A9CA_38C62EF18CBE_.wvu.FilterData">'Private Unverified Institutes'!$A$5:$H$595</definedName>
    <definedName hidden="1" localSheetId="9" name="Z_59693195_0373_46FB_A9CA_38C62EF18CBE_.wvu.FilterData">'20221102 Verified Institutes'!$A$8:$R$95</definedName>
    <definedName hidden="1" localSheetId="10" name="Z_59693195_0373_46FB_A9CA_38C62EF18CBE_.wvu.FilterData">'Unverified Private Institutes'!$A$8:$Q$595</definedName>
    <definedName hidden="1" localSheetId="11" name="Z_59693195_0373_46FB_A9CA_38C62EF18CBE_.wvu.FilterData">'Final List'!$A$8:$I$17</definedName>
    <definedName hidden="1" localSheetId="12" name="Z_59693195_0373_46FB_A9CA_38C62EF18CBE_.wvu.FilterData">'Exam Centers'!$A$6:$G$20</definedName>
    <definedName hidden="1" localSheetId="13" name="Z_59693195_0373_46FB_A9CA_38C62EF18CBE_.wvu.FilterData">'20221105 Unverified'!$A$5:$G$575</definedName>
    <definedName hidden="1" localSheetId="3" name="Z_26145B14_D411_4703_A550_BC4D66DDB855_.wvu.FilterData">'Elligible Training Institutes R'!$A$8:$R$19</definedName>
    <definedName hidden="1" localSheetId="5" name="Z_26145B14_D411_4703_A550_BC4D66DDB855_.wvu.FilterData">'Unverified Institutes'!$A$6:$I$574</definedName>
    <definedName hidden="1" localSheetId="6" name="Z_26145B14_D411_4703_A550_BC4D66DDB855_.wvu.FilterData">'Tech PoCs Contact Details'!$A$5:$J$48</definedName>
    <definedName hidden="1" localSheetId="7" name="Z_26145B14_D411_4703_A550_BC4D66DDB855_.wvu.FilterData">'Private Unverified Institutes'!$A$5:$H$595</definedName>
    <definedName hidden="1" localSheetId="9" name="Z_26145B14_D411_4703_A550_BC4D66DDB855_.wvu.FilterData">'20221102 Verified Institutes'!$A$8:$R$95</definedName>
    <definedName hidden="1" localSheetId="10" name="Z_26145B14_D411_4703_A550_BC4D66DDB855_.wvu.FilterData">'Unverified Private Institutes'!$A$8:$Q$595</definedName>
    <definedName hidden="1" localSheetId="11" name="Z_26145B14_D411_4703_A550_BC4D66DDB855_.wvu.FilterData">'Final List'!$A$8:$I$17</definedName>
    <definedName hidden="1" localSheetId="12" name="Z_26145B14_D411_4703_A550_BC4D66DDB855_.wvu.FilterData">'Exam Centers'!$A$6:$G$20</definedName>
    <definedName hidden="1" localSheetId="13" name="Z_26145B14_D411_4703_A550_BC4D66DDB855_.wvu.FilterData">'20221105 Unverified'!$A$5:$G$575</definedName>
    <definedName hidden="1" localSheetId="3" name="Z_29638FDE_F393_4482_95FA_94A7C29B2F6D_.wvu.FilterData">'Elligible Training Institutes R'!$A$8:$R$19</definedName>
    <definedName hidden="1" localSheetId="4" name="Z_29638FDE_F393_4482_95FA_94A7C29B2F6D_.wvu.FilterData">'SR NET Software Tracker'!$A$5:$N$17</definedName>
    <definedName hidden="1" localSheetId="5" name="Z_29638FDE_F393_4482_95FA_94A7C29B2F6D_.wvu.FilterData">'Unverified Institutes'!$A$6:$I$574</definedName>
    <definedName hidden="1" localSheetId="6" name="Z_29638FDE_F393_4482_95FA_94A7C29B2F6D_.wvu.FilterData">'Tech PoCs Contact Details'!$A$5:$J$48</definedName>
    <definedName hidden="1" localSheetId="7" name="Z_29638FDE_F393_4482_95FA_94A7C29B2F6D_.wvu.FilterData">'Private Unverified Institutes'!$A$5:$H$595</definedName>
    <definedName hidden="1" localSheetId="9" name="Z_29638FDE_F393_4482_95FA_94A7C29B2F6D_.wvu.FilterData">'20221102 Verified Institutes'!$A$8:$R$95</definedName>
    <definedName hidden="1" localSheetId="10" name="Z_29638FDE_F393_4482_95FA_94A7C29B2F6D_.wvu.FilterData">'Unverified Private Institutes'!$A$8:$Q$595</definedName>
    <definedName hidden="1" localSheetId="11" name="Z_29638FDE_F393_4482_95FA_94A7C29B2F6D_.wvu.FilterData">'Final List'!$A$8:$I$17</definedName>
    <definedName hidden="1" localSheetId="12" name="Z_29638FDE_F393_4482_95FA_94A7C29B2F6D_.wvu.FilterData">'Exam Centers'!$A$6:$G$20</definedName>
    <definedName hidden="1" localSheetId="13" name="Z_29638FDE_F393_4482_95FA_94A7C29B2F6D_.wvu.FilterData">'20221105 Unverified'!$A$5:$G$575</definedName>
    <definedName hidden="1" localSheetId="3" name="Z_05E57482_DB48_400E_8515_A1E7600ACD40_.wvu.FilterData">'Elligible Training Institutes R'!$Q$1</definedName>
    <definedName hidden="1" localSheetId="9" name="Z_05E57482_DB48_400E_8515_A1E7600ACD40_.wvu.FilterData">'20221102 Verified Institutes'!$Q$1</definedName>
    <definedName hidden="1" localSheetId="10" name="Z_05E57482_DB48_400E_8515_A1E7600ACD40_.wvu.FilterData">'Unverified Private Institutes'!$P$1</definedName>
    <definedName hidden="1" localSheetId="3" name="Z_3D2377A7_7B9A_4DD0_8064_B35170BE2591_.wvu.FilterData">'Elligible Training Institutes R'!$A$8:$R$19</definedName>
    <definedName hidden="1" localSheetId="4" name="Z_3D2377A7_7B9A_4DD0_8064_B35170BE2591_.wvu.FilterData">'SR NET Software Tracker'!$A$5:$N$17</definedName>
    <definedName hidden="1" localSheetId="5" name="Z_3D2377A7_7B9A_4DD0_8064_B35170BE2591_.wvu.FilterData">'Unverified Institutes'!$A$6:$I$574</definedName>
    <definedName hidden="1" localSheetId="6" name="Z_3D2377A7_7B9A_4DD0_8064_B35170BE2591_.wvu.FilterData">'Tech PoCs Contact Details'!$A$5:$J$48</definedName>
    <definedName hidden="1" localSheetId="7" name="Z_3D2377A7_7B9A_4DD0_8064_B35170BE2591_.wvu.FilterData">'Private Unverified Institutes'!$A$5:$H$595</definedName>
    <definedName hidden="1" localSheetId="9" name="Z_3D2377A7_7B9A_4DD0_8064_B35170BE2591_.wvu.FilterData">'20221102 Verified Institutes'!$A$8:$R$95</definedName>
    <definedName hidden="1" localSheetId="10" name="Z_3D2377A7_7B9A_4DD0_8064_B35170BE2591_.wvu.FilterData">'Unverified Private Institutes'!$A$8:$Q$595</definedName>
    <definedName hidden="1" localSheetId="11" name="Z_3D2377A7_7B9A_4DD0_8064_B35170BE2591_.wvu.FilterData">'Final List'!$A$8:$I$17</definedName>
    <definedName hidden="1" localSheetId="12" name="Z_3D2377A7_7B9A_4DD0_8064_B35170BE2591_.wvu.FilterData">'Exam Centers'!$A$6:$G$20</definedName>
    <definedName hidden="1" localSheetId="13" name="Z_3D2377A7_7B9A_4DD0_8064_B35170BE2591_.wvu.FilterData">'20221105 Unverified'!$A$5:$G$575</definedName>
    <definedName hidden="1" localSheetId="3" name="Z_28CBDBE6_D2F0_42B2_8EAC_A47764FF5CBC_.wvu.FilterData">'Elligible Training Institutes R'!$A$8:$S$19</definedName>
    <definedName hidden="1" localSheetId="5" name="Z_28CBDBE6_D2F0_42B2_8EAC_A47764FF5CBC_.wvu.FilterData">'Unverified Institutes'!$A$6:$I$574</definedName>
    <definedName hidden="1" localSheetId="6" name="Z_28CBDBE6_D2F0_42B2_8EAC_A47764FF5CBC_.wvu.FilterData">'Tech PoCs Contact Details'!$A$5:$J$48</definedName>
    <definedName hidden="1" localSheetId="12" name="Z_28CBDBE6_D2F0_42B2_8EAC_A47764FF5CBC_.wvu.FilterData">'Exam Centers'!$A$6:$H$20</definedName>
    <definedName hidden="1" localSheetId="3" name="Z_BE7EE906_3AC6_489B_8307_8DCF78AC4CC4_.wvu.FilterData">'Elligible Training Institutes R'!$A$8:$R$19</definedName>
    <definedName hidden="1" localSheetId="4" name="Z_BE7EE906_3AC6_489B_8307_8DCF78AC4CC4_.wvu.FilterData">'SR NET Software Tracker'!$A$5:$N$17</definedName>
    <definedName hidden="1" localSheetId="5" name="Z_BE7EE906_3AC6_489B_8307_8DCF78AC4CC4_.wvu.FilterData">'Unverified Institutes'!$A$6:$I$574</definedName>
    <definedName hidden="1" localSheetId="6" name="Z_BE7EE906_3AC6_489B_8307_8DCF78AC4CC4_.wvu.FilterData">'Tech PoCs Contact Details'!$A$5:$J$48</definedName>
    <definedName hidden="1" localSheetId="7" name="Z_BE7EE906_3AC6_489B_8307_8DCF78AC4CC4_.wvu.FilterData">'Private Unverified Institutes'!$A$5:$H$595</definedName>
    <definedName hidden="1" localSheetId="9" name="Z_BE7EE906_3AC6_489B_8307_8DCF78AC4CC4_.wvu.FilterData">'20221102 Verified Institutes'!$A$8:$R$95</definedName>
    <definedName hidden="1" localSheetId="10" name="Z_BE7EE906_3AC6_489B_8307_8DCF78AC4CC4_.wvu.FilterData">'Unverified Private Institutes'!$A$8:$Q$595</definedName>
    <definedName hidden="1" localSheetId="11" name="Z_BE7EE906_3AC6_489B_8307_8DCF78AC4CC4_.wvu.FilterData">'Final List'!$A$8:$I$17</definedName>
    <definedName hidden="1" localSheetId="12" name="Z_BE7EE906_3AC6_489B_8307_8DCF78AC4CC4_.wvu.FilterData">'Exam Centers'!$A$6:$G$20</definedName>
    <definedName hidden="1" localSheetId="13" name="Z_BE7EE906_3AC6_489B_8307_8DCF78AC4CC4_.wvu.FilterData">'20221105 Unverified'!$A$5:$G$575</definedName>
    <definedName hidden="1" localSheetId="3" name="Z_88D6F7E3_A77D_4A4A_B3FA_3E0E2F352DBE_.wvu.FilterData">'Elligible Training Institutes R'!$Q$1:$Q$3</definedName>
    <definedName hidden="1" localSheetId="9" name="Z_88D6F7E3_A77D_4A4A_B3FA_3E0E2F352DBE_.wvu.FilterData">'20221102 Verified Institutes'!$Q$1:$Q$3</definedName>
    <definedName hidden="1" localSheetId="10" name="Z_88D6F7E3_A77D_4A4A_B3FA_3E0E2F352DBE_.wvu.FilterData">'Unverified Private Institutes'!$P$1:$P$3</definedName>
    <definedName hidden="1" localSheetId="3" name="Z_19BDEF7B_6167_46F4_96D1_80D9261FEA6F_.wvu.FilterData">'Elligible Training Institutes R'!$A$8:$S$19</definedName>
    <definedName hidden="1" localSheetId="5" name="Z_19BDEF7B_6167_46F4_96D1_80D9261FEA6F_.wvu.FilterData">'Unverified Institutes'!$A$6:$I$574</definedName>
    <definedName hidden="1" localSheetId="6" name="Z_19BDEF7B_6167_46F4_96D1_80D9261FEA6F_.wvu.FilterData">'Tech PoCs Contact Details'!$A$5:$J$48</definedName>
    <definedName hidden="1" localSheetId="11" name="Z_19BDEF7B_6167_46F4_96D1_80D9261FEA6F_.wvu.FilterData">'Final List'!$A$8:$I$17</definedName>
    <definedName hidden="1" localSheetId="12" name="Z_19BDEF7B_6167_46F4_96D1_80D9261FEA6F_.wvu.FilterData">'Exam Centers'!$A$6:$H$20</definedName>
    <definedName hidden="1" localSheetId="3" name="Z_1C94B833_20B3_4B74_ACE6_0864EB8F8213_.wvu.FilterData">'Elligible Training Institutes R'!$A$8:$R$19</definedName>
    <definedName hidden="1" localSheetId="4" name="Z_1C94B833_20B3_4B74_ACE6_0864EB8F8213_.wvu.FilterData">'SR NET Software Tracker'!$A$5:$N$17</definedName>
    <definedName hidden="1" localSheetId="5" name="Z_1C94B833_20B3_4B74_ACE6_0864EB8F8213_.wvu.FilterData">'Unverified Institutes'!$A$6:$I$574</definedName>
    <definedName hidden="1" localSheetId="6" name="Z_1C94B833_20B3_4B74_ACE6_0864EB8F8213_.wvu.FilterData">'Tech PoCs Contact Details'!$A$5:$J$48</definedName>
    <definedName hidden="1" localSheetId="7" name="Z_1C94B833_20B3_4B74_ACE6_0864EB8F8213_.wvu.FilterData">'Private Unverified Institutes'!$A$5:$H$595</definedName>
    <definedName hidden="1" localSheetId="9" name="Z_1C94B833_20B3_4B74_ACE6_0864EB8F8213_.wvu.FilterData">'20221102 Verified Institutes'!$A$8:$R$95</definedName>
    <definedName hidden="1" localSheetId="10" name="Z_1C94B833_20B3_4B74_ACE6_0864EB8F8213_.wvu.FilterData">'Unverified Private Institutes'!$A$8:$Q$595</definedName>
    <definedName hidden="1" localSheetId="11" name="Z_1C94B833_20B3_4B74_ACE6_0864EB8F8213_.wvu.FilterData">'Final List'!$A$8:$I$17</definedName>
    <definedName hidden="1" localSheetId="12" name="Z_1C94B833_20B3_4B74_ACE6_0864EB8F8213_.wvu.FilterData">'Exam Centers'!$A$6:$G$20</definedName>
    <definedName hidden="1" localSheetId="13" name="Z_1C94B833_20B3_4B74_ACE6_0864EB8F8213_.wvu.FilterData">'20221105 Unverified'!$A$5:$G$575</definedName>
    <definedName hidden="1" localSheetId="3" name="Z_B995BA34_E10D_40AF_AA8C_B5692B2826B5_.wvu.FilterData">'Elligible Training Institutes R'!$A$8:$L$19</definedName>
    <definedName hidden="1" localSheetId="4" name="Z_B995BA34_E10D_40AF_AA8C_B5692B2826B5_.wvu.FilterData">'SR NET Software Tracker'!$A$5:$H$17</definedName>
    <definedName hidden="1" localSheetId="5" name="Z_B995BA34_E10D_40AF_AA8C_B5692B2826B5_.wvu.FilterData">'Unverified Institutes'!$A$6:$H$574</definedName>
    <definedName hidden="1" localSheetId="6" name="Z_B995BA34_E10D_40AF_AA8C_B5692B2826B5_.wvu.FilterData">'Tech PoCs Contact Details'!$A$5:$I$48</definedName>
    <definedName hidden="1" localSheetId="7" name="Z_B995BA34_E10D_40AF_AA8C_B5692B2826B5_.wvu.FilterData">'Private Unverified Institutes'!$A$5:$G$595</definedName>
    <definedName hidden="1" localSheetId="9" name="Z_B995BA34_E10D_40AF_AA8C_B5692B2826B5_.wvu.FilterData">'20221102 Verified Institutes'!$A$8:$L$95</definedName>
    <definedName hidden="1" localSheetId="10" name="Z_B995BA34_E10D_40AF_AA8C_B5692B2826B5_.wvu.FilterData">'Unverified Private Institutes'!$A$8:$K$595</definedName>
    <definedName hidden="1" localSheetId="11" name="Z_B995BA34_E10D_40AF_AA8C_B5692B2826B5_.wvu.FilterData">'Final List'!$A$8:$H$17</definedName>
    <definedName hidden="1" localSheetId="12" name="Z_B995BA34_E10D_40AF_AA8C_B5692B2826B5_.wvu.FilterData">'Exam Centers'!$A$6:$G$20</definedName>
    <definedName hidden="1" localSheetId="13" name="Z_B995BA34_E10D_40AF_AA8C_B5692B2826B5_.wvu.FilterData">'20221105 Unverified'!$A$5:$G$575</definedName>
    <definedName hidden="1" localSheetId="3" name="Z_461316B6_17F5_406C_AD29_9E9E363CFA06_.wvu.FilterData">'Elligible Training Institutes R'!$A$8:$R$19</definedName>
    <definedName hidden="1" localSheetId="5" name="Z_461316B6_17F5_406C_AD29_9E9E363CFA06_.wvu.FilterData">'Unverified Institutes'!$A$6:$I$574</definedName>
    <definedName hidden="1" localSheetId="6" name="Z_461316B6_17F5_406C_AD29_9E9E363CFA06_.wvu.FilterData">'Tech PoCs Contact Details'!$A$5:$J$48</definedName>
    <definedName hidden="1" localSheetId="7" name="Z_461316B6_17F5_406C_AD29_9E9E363CFA06_.wvu.FilterData">'Private Unverified Institutes'!$A$5:$H$595</definedName>
    <definedName hidden="1" localSheetId="9" name="Z_461316B6_17F5_406C_AD29_9E9E363CFA06_.wvu.FilterData">'20221102 Verified Institutes'!$A$8:$R$95</definedName>
    <definedName hidden="1" localSheetId="11" name="Z_461316B6_17F5_406C_AD29_9E9E363CFA06_.wvu.FilterData">'Final List'!$A$8:$I$17</definedName>
    <definedName hidden="1" localSheetId="12" name="Z_461316B6_17F5_406C_AD29_9E9E363CFA06_.wvu.FilterData">'Exam Centers'!$A$6:$G$20</definedName>
    <definedName hidden="1" localSheetId="13" name="Z_461316B6_17F5_406C_AD29_9E9E363CFA06_.wvu.FilterData">'20221105 Unverified'!$A$5:$G$575</definedName>
    <definedName hidden="1" localSheetId="3" name="Z_1DC2AD82_D692_4630_94C1_2791270E8794_.wvu.FilterData">'Elligible Training Institutes R'!$O$3</definedName>
    <definedName hidden="1" localSheetId="5" name="Z_1DC2AD82_D692_4630_94C1_2791270E8794_.wvu.FilterData">'Unverified Institutes'!$I$3</definedName>
    <definedName hidden="1" localSheetId="6" name="Z_1DC2AD82_D692_4630_94C1_2791270E8794_.wvu.FilterData">'Tech PoCs Contact Details'!$J$3</definedName>
    <definedName hidden="1" localSheetId="9" name="Z_1DC2AD82_D692_4630_94C1_2791270E8794_.wvu.FilterData">'20221102 Verified Institutes'!$O$3</definedName>
    <definedName hidden="1" localSheetId="10" name="Z_1DC2AD82_D692_4630_94C1_2791270E8794_.wvu.FilterData">'Unverified Private Institutes'!$N$3</definedName>
    <definedName hidden="1" localSheetId="3" name="Z_910CCA99_ECFE_4553_A281_5C978C3187C0_.wvu.FilterData">'Elligible Training Institutes R'!$P$1:$Q$1</definedName>
    <definedName hidden="1" localSheetId="9" name="Z_910CCA99_ECFE_4553_A281_5C978C3187C0_.wvu.FilterData">'20221102 Verified Institutes'!$P$1:$Q$1</definedName>
    <definedName hidden="1" localSheetId="10" name="Z_910CCA99_ECFE_4553_A281_5C978C3187C0_.wvu.FilterData">'Unverified Private Institutes'!$O$1:$P$1</definedName>
    <definedName hidden="1" localSheetId="3" name="Z_B8F91280_5839_4824_9837_B33C2803B9C9_.wvu.FilterData">'Elligible Training Institutes R'!$A$8:$R$19</definedName>
    <definedName hidden="1" localSheetId="4" name="Z_B8F91280_5839_4824_9837_B33C2803B9C9_.wvu.FilterData">'SR NET Software Tracker'!$A$5:$N$17</definedName>
    <definedName hidden="1" localSheetId="5" name="Z_B8F91280_5839_4824_9837_B33C2803B9C9_.wvu.FilterData">'Unverified Institutes'!$A$6:$I$574</definedName>
    <definedName hidden="1" localSheetId="6" name="Z_B8F91280_5839_4824_9837_B33C2803B9C9_.wvu.FilterData">'Tech PoCs Contact Details'!$A$5:$J$48</definedName>
    <definedName hidden="1" localSheetId="7" name="Z_B8F91280_5839_4824_9837_B33C2803B9C9_.wvu.FilterData">'Private Unverified Institutes'!$A$5:$H$595</definedName>
    <definedName hidden="1" localSheetId="9" name="Z_B8F91280_5839_4824_9837_B33C2803B9C9_.wvu.FilterData">'20221102 Verified Institutes'!$A$8:$R$95</definedName>
    <definedName hidden="1" localSheetId="10" name="Z_B8F91280_5839_4824_9837_B33C2803B9C9_.wvu.FilterData">'Unverified Private Institutes'!$A$8:$Q$595</definedName>
    <definedName hidden="1" localSheetId="11" name="Z_B8F91280_5839_4824_9837_B33C2803B9C9_.wvu.FilterData">'Final List'!$A$8:$I$17</definedName>
    <definedName hidden="1" localSheetId="12" name="Z_B8F91280_5839_4824_9837_B33C2803B9C9_.wvu.FilterData">'Exam Centers'!$A$6:$G$20</definedName>
    <definedName hidden="1" localSheetId="13" name="Z_B8F91280_5839_4824_9837_B33C2803B9C9_.wvu.FilterData">'20221105 Unverified'!$A$5:$G$575</definedName>
    <definedName hidden="1" localSheetId="3" name="Z_8C74C9FC_D395_430E_9425_07E8EBD06DD9_.wvu.FilterData">'Elligible Training Institutes R'!$A$8:$R$19</definedName>
    <definedName hidden="1" localSheetId="5" name="Z_8C74C9FC_D395_430E_9425_07E8EBD06DD9_.wvu.FilterData">'Unverified Institutes'!$A$6:$I$574</definedName>
    <definedName hidden="1" localSheetId="6" name="Z_8C74C9FC_D395_430E_9425_07E8EBD06DD9_.wvu.FilterData">'Tech PoCs Contact Details'!$A$5:$J$48</definedName>
    <definedName hidden="1" localSheetId="7" name="Z_8C74C9FC_D395_430E_9425_07E8EBD06DD9_.wvu.FilterData">'Private Unverified Institutes'!$A$5:$H$595</definedName>
    <definedName hidden="1" localSheetId="9" name="Z_8C74C9FC_D395_430E_9425_07E8EBD06DD9_.wvu.FilterData">'20221102 Verified Institutes'!$A$8:$R$95</definedName>
    <definedName hidden="1" localSheetId="10" name="Z_8C74C9FC_D395_430E_9425_07E8EBD06DD9_.wvu.FilterData">'Unverified Private Institutes'!$A$8:$Q$595</definedName>
    <definedName hidden="1" localSheetId="11" name="Z_8C74C9FC_D395_430E_9425_07E8EBD06DD9_.wvu.FilterData">'Final List'!$A$8:$I$17</definedName>
    <definedName hidden="1" localSheetId="12" name="Z_8C74C9FC_D395_430E_9425_07E8EBD06DD9_.wvu.FilterData">'Exam Centers'!$A$6:$G$20</definedName>
    <definedName hidden="1" localSheetId="13" name="Z_8C74C9FC_D395_430E_9425_07E8EBD06DD9_.wvu.FilterData">'20221105 Unverified'!$A$5:$G$575</definedName>
    <definedName hidden="1" localSheetId="3" name="Z_F79953EE_21CA_4328_B7CE_2E5232C4758F_.wvu.FilterData">'Elligible Training Institutes R'!$A$8:$R$19</definedName>
    <definedName hidden="1" localSheetId="4" name="Z_F79953EE_21CA_4328_B7CE_2E5232C4758F_.wvu.FilterData">'SR NET Software Tracker'!$A$5:$N$17</definedName>
    <definedName hidden="1" localSheetId="5" name="Z_F79953EE_21CA_4328_B7CE_2E5232C4758F_.wvu.FilterData">'Unverified Institutes'!$A$6:$I$574</definedName>
    <definedName hidden="1" localSheetId="6" name="Z_F79953EE_21CA_4328_B7CE_2E5232C4758F_.wvu.FilterData">'Tech PoCs Contact Details'!$A$5:$J$48</definedName>
    <definedName hidden="1" localSheetId="7" name="Z_F79953EE_21CA_4328_B7CE_2E5232C4758F_.wvu.FilterData">'Private Unverified Institutes'!$A$5:$H$595</definedName>
    <definedName hidden="1" localSheetId="9" name="Z_F79953EE_21CA_4328_B7CE_2E5232C4758F_.wvu.FilterData">'20221102 Verified Institutes'!$A$8:$R$95</definedName>
    <definedName hidden="1" localSheetId="10" name="Z_F79953EE_21CA_4328_B7CE_2E5232C4758F_.wvu.FilterData">'Unverified Private Institutes'!$A$8:$Q$595</definedName>
    <definedName hidden="1" localSheetId="11" name="Z_F79953EE_21CA_4328_B7CE_2E5232C4758F_.wvu.FilterData">'Final List'!$A$8:$I$17</definedName>
    <definedName hidden="1" localSheetId="12" name="Z_F79953EE_21CA_4328_B7CE_2E5232C4758F_.wvu.FilterData">'Exam Centers'!$A$6:$G$20</definedName>
    <definedName hidden="1" localSheetId="13" name="Z_F79953EE_21CA_4328_B7CE_2E5232C4758F_.wvu.FilterData">'20221105 Unverified'!$A$5:$G$575</definedName>
    <definedName hidden="1" localSheetId="3" name="Z_D0F387BE_95CD_4215_B4D7_7CB6B328D750_.wvu.FilterData">'Elligible Training Institutes R'!$A$8:$R$19</definedName>
    <definedName hidden="1" localSheetId="4" name="Z_D0F387BE_95CD_4215_B4D7_7CB6B328D750_.wvu.FilterData">'SR NET Software Tracker'!$A$5:$N$17</definedName>
    <definedName hidden="1" localSheetId="5" name="Z_D0F387BE_95CD_4215_B4D7_7CB6B328D750_.wvu.FilterData">'Unverified Institutes'!$A$6:$I$574</definedName>
    <definedName hidden="1" localSheetId="6" name="Z_D0F387BE_95CD_4215_B4D7_7CB6B328D750_.wvu.FilterData">'Tech PoCs Contact Details'!$A$5:$J$48</definedName>
    <definedName hidden="1" localSheetId="7" name="Z_D0F387BE_95CD_4215_B4D7_7CB6B328D750_.wvu.FilterData">'Private Unverified Institutes'!$A$5:$H$595</definedName>
    <definedName hidden="1" localSheetId="9" name="Z_D0F387BE_95CD_4215_B4D7_7CB6B328D750_.wvu.FilterData">'20221102 Verified Institutes'!$A$8:$R$95</definedName>
    <definedName hidden="1" localSheetId="10" name="Z_D0F387BE_95CD_4215_B4D7_7CB6B328D750_.wvu.FilterData">'Unverified Private Institutes'!$A$8:$Q$595</definedName>
    <definedName hidden="1" localSheetId="11" name="Z_D0F387BE_95CD_4215_B4D7_7CB6B328D750_.wvu.FilterData">'Final List'!$A$8:$I$17</definedName>
    <definedName hidden="1" localSheetId="12" name="Z_D0F387BE_95CD_4215_B4D7_7CB6B328D750_.wvu.FilterData">'Exam Centers'!$A$6:$G$20</definedName>
    <definedName hidden="1" localSheetId="13" name="Z_D0F387BE_95CD_4215_B4D7_7CB6B328D750_.wvu.FilterData">'20221105 Unverified'!$A$5:$G$575</definedName>
    <definedName hidden="1" localSheetId="3" name="Z_0FE39A5F_C5C4_4C74_B50C_08D37C704852_.wvu.FilterData">'Elligible Training Institutes R'!$A$8:$S$19</definedName>
    <definedName hidden="1" localSheetId="5" name="Z_0FE39A5F_C5C4_4C74_B50C_08D37C704852_.wvu.FilterData">'Unverified Institutes'!$A$6:$I$574</definedName>
    <definedName hidden="1" localSheetId="6" name="Z_0FE39A5F_C5C4_4C74_B50C_08D37C704852_.wvu.FilterData">'Tech PoCs Contact Details'!$A$5:$J$48</definedName>
    <definedName hidden="1" localSheetId="11" name="Z_0FE39A5F_C5C4_4C74_B50C_08D37C704852_.wvu.FilterData">'Final List'!$A$8:$I$17</definedName>
    <definedName hidden="1" localSheetId="12" name="Z_0FE39A5F_C5C4_4C74_B50C_08D37C704852_.wvu.FilterData">'Exam Centers'!$A$6:$H$20</definedName>
    <definedName hidden="1" localSheetId="3" name="Z_B340BCCB_2239_4F53_A7F5_8859E4CC659F_.wvu.FilterData">'Elligible Training Institutes R'!$A$8:$R$19</definedName>
    <definedName hidden="1" localSheetId="4" name="Z_B340BCCB_2239_4F53_A7F5_8859E4CC659F_.wvu.FilterData">'SR NET Software Tracker'!$A$5:$N$17</definedName>
    <definedName hidden="1" localSheetId="5" name="Z_B340BCCB_2239_4F53_A7F5_8859E4CC659F_.wvu.FilterData">'Unverified Institutes'!$A$6:$I$574</definedName>
    <definedName hidden="1" localSheetId="6" name="Z_B340BCCB_2239_4F53_A7F5_8859E4CC659F_.wvu.FilterData">'Tech PoCs Contact Details'!$A$5:$J$48</definedName>
    <definedName hidden="1" localSheetId="7" name="Z_B340BCCB_2239_4F53_A7F5_8859E4CC659F_.wvu.FilterData">'Private Unverified Institutes'!$A$5:$H$595</definedName>
    <definedName hidden="1" localSheetId="9" name="Z_B340BCCB_2239_4F53_A7F5_8859E4CC659F_.wvu.FilterData">'20221102 Verified Institutes'!$A$8:$R$95</definedName>
    <definedName hidden="1" localSheetId="10" name="Z_B340BCCB_2239_4F53_A7F5_8859E4CC659F_.wvu.FilterData">'Unverified Private Institutes'!$A$8:$Q$595</definedName>
    <definedName hidden="1" localSheetId="11" name="Z_B340BCCB_2239_4F53_A7F5_8859E4CC659F_.wvu.FilterData">'Final List'!$A$8:$I$17</definedName>
    <definedName hidden="1" localSheetId="12" name="Z_B340BCCB_2239_4F53_A7F5_8859E4CC659F_.wvu.FilterData">'Exam Centers'!$A$6:$G$20</definedName>
    <definedName hidden="1" localSheetId="13" name="Z_B340BCCB_2239_4F53_A7F5_8859E4CC659F_.wvu.FilterData">'20221105 Unverified'!$A$5:$G$575</definedName>
    <definedName hidden="1" localSheetId="3" name="Z_41EC89E4_EEB1_42F9_9D42_62D67780E2D1_.wvu.FilterData">'Elligible Training Institutes R'!$A$8:$R$19</definedName>
    <definedName hidden="1" localSheetId="4" name="Z_41EC89E4_EEB1_42F9_9D42_62D67780E2D1_.wvu.FilterData">'SR NET Software Tracker'!$A$5:$N$17</definedName>
    <definedName hidden="1" localSheetId="5" name="Z_41EC89E4_EEB1_42F9_9D42_62D67780E2D1_.wvu.FilterData">'Unverified Institutes'!$A$6:$I$574</definedName>
    <definedName hidden="1" localSheetId="6" name="Z_41EC89E4_EEB1_42F9_9D42_62D67780E2D1_.wvu.FilterData">'Tech PoCs Contact Details'!$A$5:$J$48</definedName>
    <definedName hidden="1" localSheetId="7" name="Z_41EC89E4_EEB1_42F9_9D42_62D67780E2D1_.wvu.FilterData">'Private Unverified Institutes'!$A$5:$H$595</definedName>
    <definedName hidden="1" localSheetId="9" name="Z_41EC89E4_EEB1_42F9_9D42_62D67780E2D1_.wvu.FilterData">'20221102 Verified Institutes'!$A$8:$R$95</definedName>
    <definedName hidden="1" localSheetId="10" name="Z_41EC89E4_EEB1_42F9_9D42_62D67780E2D1_.wvu.FilterData">'Unverified Private Institutes'!$A$8:$Q$595</definedName>
    <definedName hidden="1" localSheetId="11" name="Z_41EC89E4_EEB1_42F9_9D42_62D67780E2D1_.wvu.FilterData">'Final List'!$A$8:$I$17</definedName>
    <definedName hidden="1" localSheetId="12" name="Z_41EC89E4_EEB1_42F9_9D42_62D67780E2D1_.wvu.FilterData">'Exam Centers'!$A$6:$G$20</definedName>
    <definedName hidden="1" localSheetId="13" name="Z_41EC89E4_EEB1_42F9_9D42_62D67780E2D1_.wvu.FilterData">'20221105 Unverified'!$A$5:$G$575</definedName>
    <definedName hidden="1" localSheetId="0" name="Z_949CA828_ADAD_4E9F_B44A_C4CC9CB43678_.wvu.FilterData">Test!$O$4</definedName>
    <definedName hidden="1" localSheetId="3" name="Z_949CA828_ADAD_4E9F_B44A_C4CC9CB43678_.wvu.FilterData">'Elligible Training Institutes R'!$Q$5</definedName>
    <definedName hidden="1" localSheetId="9" name="Z_949CA828_ADAD_4E9F_B44A_C4CC9CB43678_.wvu.FilterData">'20221102 Verified Institutes'!$Q$5</definedName>
    <definedName hidden="1" localSheetId="10" name="Z_949CA828_ADAD_4E9F_B44A_C4CC9CB43678_.wvu.FilterData">'Unverified Private Institutes'!$P$5</definedName>
    <definedName hidden="1" localSheetId="3" name="Z_83CFE988_7961_4294_A58B_6D43D804AA72_.wvu.FilterData">'Elligible Training Institutes R'!$A$8:$R$19</definedName>
    <definedName hidden="1" localSheetId="4" name="Z_83CFE988_7961_4294_A58B_6D43D804AA72_.wvu.FilterData">'SR NET Software Tracker'!$A$5:$N$17</definedName>
    <definedName hidden="1" localSheetId="5" name="Z_83CFE988_7961_4294_A58B_6D43D804AA72_.wvu.FilterData">'Unverified Institutes'!$A$6:$I$574</definedName>
    <definedName hidden="1" localSheetId="6" name="Z_83CFE988_7961_4294_A58B_6D43D804AA72_.wvu.FilterData">'Tech PoCs Contact Details'!$A$5:$J$48</definedName>
    <definedName hidden="1" localSheetId="7" name="Z_83CFE988_7961_4294_A58B_6D43D804AA72_.wvu.FilterData">'Private Unverified Institutes'!$A$5:$H$595</definedName>
    <definedName hidden="1" localSheetId="9" name="Z_83CFE988_7961_4294_A58B_6D43D804AA72_.wvu.FilterData">'20221102 Verified Institutes'!$A$8:$R$95</definedName>
    <definedName hidden="1" localSheetId="10" name="Z_83CFE988_7961_4294_A58B_6D43D804AA72_.wvu.FilterData">'Unverified Private Institutes'!$A$8:$Q$595</definedName>
    <definedName hidden="1" localSheetId="11" name="Z_83CFE988_7961_4294_A58B_6D43D804AA72_.wvu.FilterData">'Final List'!$A$8:$I$17</definedName>
    <definedName hidden="1" localSheetId="12" name="Z_83CFE988_7961_4294_A58B_6D43D804AA72_.wvu.FilterData">'Exam Centers'!$A$6:$G$20</definedName>
    <definedName hidden="1" localSheetId="13" name="Z_83CFE988_7961_4294_A58B_6D43D804AA72_.wvu.FilterData">'20221105 Unverified'!$A$5:$G$575</definedName>
  </definedNames>
  <calcPr/>
  <customWorkbookViews>
    <customWorkbookView activeSheetId="0" maximized="1" windowHeight="0" windowWidth="0" guid="{D0F387BE-95CD-4215-B4D7-7CB6B328D750}" name="Filter 11"/>
    <customWorkbookView activeSheetId="0" maximized="1" windowHeight="0" windowWidth="0" guid="{F6486A42-65B9-45A0-BAFA-8CD661D4DF5E}" name="Filter 33"/>
    <customWorkbookView activeSheetId="0" maximized="1" windowHeight="0" windowWidth="0" guid="{B8F91280-5839-4824-9837-B33C2803B9C9}" name="Filter 12"/>
    <customWorkbookView activeSheetId="0" maximized="1" windowHeight="0" windowWidth="0" guid="{BE7EE906-3AC6-489B-8307-8DCF78AC4CC4}" name="Filter 13"/>
    <customWorkbookView activeSheetId="0" maximized="1" windowHeight="0" windowWidth="0" guid="{89D674A9-5E02-46F3-8EAE-C90AAEBD18CB}" name="Filter 14"/>
    <customWorkbookView activeSheetId="0" maximized="1" windowHeight="0" windowWidth="0" guid="{3D2377A7-7B9A-4DD0-8064-B35170BE2591}" name="Filter 15"/>
    <customWorkbookView activeSheetId="0" maximized="1" windowHeight="0" windowWidth="0" guid="{05E57482-DB48-400E-8515-A1E7600ACD40}" name="Filter 16"/>
    <customWorkbookView activeSheetId="0" maximized="1" windowHeight="0" windowWidth="0" guid="{59693195-0373-46FB-A9CA-38C62EF18CBE}" name="Filter 17"/>
    <customWorkbookView activeSheetId="0" maximized="1" windowHeight="0" windowWidth="0" guid="{29638FDE-F393-4482-95FA-94A7C29B2F6D}" name="Filter 18"/>
    <customWorkbookView activeSheetId="0" maximized="1" windowHeight="0" windowWidth="0" guid="{19BDEF7B-6167-46F4-96D1-80D9261FEA6F}" name="Filter 30"/>
    <customWorkbookView activeSheetId="0" maximized="1" windowHeight="0" windowWidth="0" guid="{0FE39A5F-C5C4-4C74-B50C-08D37C704852}" name="Filter 31"/>
    <customWorkbookView activeSheetId="0" maximized="1" windowHeight="0" windowWidth="0" guid="{28CBDBE6-D2F0-42B2-8EAC-A47764FF5CBC}" name="Filter 32"/>
    <customWorkbookView activeSheetId="0" maximized="1" windowHeight="0" windowWidth="0" guid="{4B942B8B-C855-402E-B1CA-C99DA2CDE73C}" name="Filter 10"/>
    <customWorkbookView activeSheetId="0" maximized="1" windowHeight="0" windowWidth="0" guid="{83CFE988-7961-4294-A58B-6D43D804AA72}" name="Filter 19"/>
    <customWorkbookView activeSheetId="0" maximized="1" windowHeight="0" windowWidth="0" guid="{F8C118C5-118F-4E9B-9306-7A818040F34B}" name="Filter 22"/>
    <customWorkbookView activeSheetId="0" maximized="1" windowHeight="0" windowWidth="0" guid="{88D6F7E3-A77D-4A4A-B3FA-3E0E2F352DBE}" name="Filter 23"/>
    <customWorkbookView activeSheetId="0" maximized="1" windowHeight="0" windowWidth="0" guid="{8D321D32-C538-4F99-A133-732AA9E194E7}" name="Filter 24"/>
    <customWorkbookView activeSheetId="0" maximized="1" windowHeight="0" windowWidth="0" guid="{910CCA99-ECFE-4553-A281-5C978C3187C0}" name="Filter 25"/>
    <customWorkbookView activeSheetId="0" maximized="1" windowHeight="0" windowWidth="0" guid="{8C74C9FC-D395-430E-9425-07E8EBD06DD9}" name="Filter 26"/>
    <customWorkbookView activeSheetId="0" maximized="1" windowHeight="0" windowWidth="0" guid="{461316B6-17F5-406C-AD29-9E9E363CFA06}" name="Filter 27"/>
    <customWorkbookView activeSheetId="0" maximized="1" windowHeight="0" windowWidth="0" guid="{E011813A-1907-4E19-A9F9-B58EB77877E4}" name="Filter 28"/>
    <customWorkbookView activeSheetId="0" maximized="1" windowHeight="0" windowWidth="0" guid="{4CDEB16D-957F-46E0-B073-82BA58078811}" name="Filter 29"/>
    <customWorkbookView activeSheetId="0" maximized="1" windowHeight="0" windowWidth="0" guid="{26145B14-D411-4703-A550-BC4D66DDB855}" name="Filter 20"/>
    <customWorkbookView activeSheetId="0" maximized="1" windowHeight="0" windowWidth="0" guid="{03BA606A-9EF1-488F-B5B6-5F234A109122}" name="Filter 8"/>
    <customWorkbookView activeSheetId="0" maximized="1" windowHeight="0" windowWidth="0" guid="{3244BD90-1F1B-49B1-9805-E2AEEAC5DF7E}" name="Filter 9"/>
    <customWorkbookView activeSheetId="0" maximized="1" windowHeight="0" windowWidth="0" guid="{1DC2AD82-D692-4630-94C1-2791270E8794}" name="Filter 21"/>
    <customWorkbookView activeSheetId="0" maximized="1" windowHeight="0" windowWidth="0" guid="{B340BCCB-2239-4F53-A7F5-8859E4CC659F}" name="Filter 6"/>
    <customWorkbookView activeSheetId="0" maximized="1" windowHeight="0" windowWidth="0" guid="{1C94B833-20B3-4B74-ACE6-0864EB8F8213}" name="Filter 7"/>
    <customWorkbookView activeSheetId="0" maximized="1" windowHeight="0" windowWidth="0" guid="{41EC89E4-EEB1-42F9-9D42-62D67780E2D1}" name="Filter 4"/>
    <customWorkbookView activeSheetId="0" maximized="1" windowHeight="0" windowWidth="0" guid="{F79953EE-21CA-4328-B7CE-2E5232C4758F}" name="Filter 5"/>
    <customWorkbookView activeSheetId="0" maximized="1" windowHeight="0" windowWidth="0" guid="{B995BA34-E10D-40AF-AA8C-B5692B2826B5}" name="Filter 2"/>
    <customWorkbookView activeSheetId="0" maximized="1" windowHeight="0" windowWidth="0" guid="{55429418-C5E5-48EC-BE8C-D5FCDB9B5FF0}" name="Filter 3"/>
    <customWorkbookView activeSheetId="0" maximized="1" windowHeight="0" windowWidth="0" guid="{949CA828-ADAD-4E9F-B44A-C4CC9CB43678}" name="Filter 1"/>
  </customWorkbookViews>
  <pivotCaches>
    <pivotCache cacheId="0" r:id="rId22"/>
  </pivotCaches>
</workbook>
</file>

<file path=xl/sharedStrings.xml><?xml version="1.0" encoding="utf-8"?>
<sst xmlns="http://schemas.openxmlformats.org/spreadsheetml/2006/main" count="14430" uniqueCount="1908">
  <si>
    <t>List of training institutes which responded to CCTV infrastructure compliance form</t>
  </si>
  <si>
    <t xml:space="preserve"> </t>
  </si>
  <si>
    <t>Total</t>
  </si>
  <si>
    <t>Exam center eligible</t>
  </si>
  <si>
    <t>Exam Centers Responded</t>
  </si>
  <si>
    <t>Verified</t>
  </si>
  <si>
    <t>Tr. Center Code</t>
  </si>
  <si>
    <t>Responded</t>
  </si>
  <si>
    <t>Tech PoC Name</t>
  </si>
  <si>
    <t>Tech PoC Number</t>
  </si>
  <si>
    <t>Check</t>
  </si>
  <si>
    <t>Date</t>
  </si>
  <si>
    <t>Verified (Y/N)</t>
  </si>
  <si>
    <t>DVR\NVR Brand</t>
  </si>
  <si>
    <t>Static IP</t>
  </si>
  <si>
    <t>Port Number</t>
  </si>
  <si>
    <t>User Name</t>
  </si>
  <si>
    <t>Password</t>
  </si>
  <si>
    <t>Remarks</t>
  </si>
  <si>
    <t>DEV EDUCATION COLLEGE, AGRA</t>
  </si>
  <si>
    <t>Yes</t>
  </si>
  <si>
    <t>Y</t>
  </si>
  <si>
    <t>30/09/2022</t>
  </si>
  <si>
    <t>Hik Vision</t>
  </si>
  <si>
    <t>103.253.208.84:80</t>
  </si>
  <si>
    <t>admin</t>
  </si>
  <si>
    <t>admin@12345</t>
  </si>
  <si>
    <t>DR. TANDON NURSING COLLEGE, AGRA</t>
  </si>
  <si>
    <t>Dahua</t>
  </si>
  <si>
    <t>103.61.74.121</t>
  </si>
  <si>
    <t>16  PORT</t>
  </si>
  <si>
    <t>abc12345</t>
  </si>
  <si>
    <t>16 Working camera</t>
  </si>
  <si>
    <t>F.H. COLLEGE OF PARAMEDICAL, AGRA</t>
  </si>
  <si>
    <t>01/10/2022</t>
  </si>
  <si>
    <t>No</t>
  </si>
  <si>
    <t>103.253.208.61:66</t>
  </si>
  <si>
    <t>HTTP-66,TCP-37766</t>
  </si>
  <si>
    <t>Quick#fine9</t>
  </si>
  <si>
    <t>This site can’t be reached</t>
  </si>
  <si>
    <t>G.G. SCHOOL OF NURSING &amp; PARA MEDICAL, AGRA</t>
  </si>
  <si>
    <t>10/10/2022</t>
  </si>
  <si>
    <t xml:space="preserve">16 and 16 </t>
  </si>
  <si>
    <t>Local IP</t>
  </si>
  <si>
    <t>I.I.M.T. COLLEGE OF PARAMEDICAL EDUCATION, AGRA</t>
  </si>
  <si>
    <t>I.I.M.T. SCHOOL OF NURSING, AGRA</t>
  </si>
  <si>
    <t>no ip</t>
  </si>
  <si>
    <t>MATA SURAJMUKHI NURSING INSTITUTE AND RESEARCH CENTER, AGRA</t>
  </si>
  <si>
    <t>DAHUA</t>
  </si>
  <si>
    <t>103.77.229.58</t>
  </si>
  <si>
    <t>page not opening</t>
  </si>
  <si>
    <t>PRABHA INSTITUTE OF NURSING &amp; PARAMEDICAL TRAINING, AGRA</t>
  </si>
  <si>
    <t>103.207.65.103</t>
  </si>
  <si>
    <t>TCP PORT: 25001,  SNMP PORT: 161</t>
  </si>
  <si>
    <t>admin1220</t>
  </si>
  <si>
    <t>admin@123</t>
  </si>
  <si>
    <t>Ok</t>
  </si>
  <si>
    <t>PUSHPANJALI HOSPITAL, AGRA</t>
  </si>
  <si>
    <t>ip not fond</t>
  </si>
  <si>
    <t>PUSHPANJALI SCHOOL OF NURSING, AGRA</t>
  </si>
  <si>
    <t>6/10/2022</t>
  </si>
  <si>
    <t>local ip</t>
  </si>
  <si>
    <t>RAVI SCHOOL OF PARAMEDICAL, AGRA</t>
  </si>
  <si>
    <t>11/10/2022</t>
  </si>
  <si>
    <t>103.144.36.174</t>
  </si>
  <si>
    <t>ABCabc@123</t>
  </si>
  <si>
    <t>IP Not Working</t>
  </si>
  <si>
    <t>S. N. MEDICAL COLLEGE , AGRA</t>
  </si>
  <si>
    <t>S.N. HOSPITAL , AGRA</t>
  </si>
  <si>
    <t>S.R.S. NURSING &amp; PARAMEDICAL INSTITUTE, AGRA</t>
  </si>
  <si>
    <t>page not working</t>
  </si>
  <si>
    <t>S.S.G. HEALTH WORKER (FEMALE) TRAINING CENTRE, AGRA</t>
  </si>
  <si>
    <t>RAVI SCHOOL OF NURSING, AGRA</t>
  </si>
  <si>
    <t>12/10/2022</t>
  </si>
  <si>
    <t>S.S.G. PARAMEDICAL COLLEGE, AGRA</t>
  </si>
  <si>
    <t>not ip</t>
  </si>
  <si>
    <t>SHANTI MANGLIK SCHOOL OF NURSING &amp; PARA MEDICAL, AGRA</t>
  </si>
  <si>
    <t>07/10/2022</t>
  </si>
  <si>
    <t>117.247.230.114</t>
  </si>
  <si>
    <t>16 port NVR</t>
  </si>
  <si>
    <t>smconp</t>
  </si>
  <si>
    <t>smconp@12</t>
  </si>
  <si>
    <t>ok</t>
  </si>
  <si>
    <t>ALIGARH SCHOOL OF NURSING, ALIGARH</t>
  </si>
  <si>
    <t>C P PLUS</t>
  </si>
  <si>
    <t>122.160.143.192</t>
  </si>
  <si>
    <t>admin123</t>
  </si>
  <si>
    <t>Page not opening</t>
  </si>
  <si>
    <t>ALIGARH UNANI AND AYURVEDIC MEDICAL COLLEGE &amp; A.C.N. HOSPITAL, ALIGARH</t>
  </si>
  <si>
    <t>admin124</t>
  </si>
  <si>
    <t>GANDHI EYE HOSPITAL , ALIGARH</t>
  </si>
  <si>
    <t>GUPTA INSTITUTE OF PARAMEDICAL SCIENCES, ALIGARH</t>
  </si>
  <si>
    <t>J.N.M.C. HOSPITAL , ALIGARH</t>
  </si>
  <si>
    <t>08 (Examination Hall's DVR) and 24 (Other DVR)</t>
  </si>
  <si>
    <t>JEEVAN JYOTI INSTITUTE OF NURSING AND PARAMEDICAL SCIENCES, ALIGARH</t>
  </si>
  <si>
    <t>CP Plus</t>
  </si>
  <si>
    <t>103.6.133.52:8181</t>
  </si>
  <si>
    <t>OK</t>
  </si>
  <si>
    <t>MAHESHWARI NURSING &amp; PARAMEDICAL INSTITUTE, ALIGARH</t>
  </si>
  <si>
    <t>03/10/2022</t>
  </si>
  <si>
    <t>P. J. INSTITUTE OF EDUCATION, ALIGARH</t>
  </si>
  <si>
    <t>06/10/2022</t>
  </si>
  <si>
    <t>115.246.114.122</t>
  </si>
  <si>
    <t>25001 (TCP port)</t>
  </si>
  <si>
    <t>Admin</t>
  </si>
  <si>
    <t>SAI INSTITUTE PARAMEDICAL STUDIES, ALIGARH</t>
  </si>
  <si>
    <t>No Ip</t>
  </si>
  <si>
    <t>SRI SAI COLLEGE OF NURSING, ALIGARH</t>
  </si>
  <si>
    <t>8.8.8.8</t>
  </si>
  <si>
    <t>SHIV SHAKTI PARAMEDICAL &amp; NURSING COLLEGE, ALIGARH</t>
  </si>
  <si>
    <t>103.139.66.185</t>
  </si>
  <si>
    <t>SHIV SHAKTI PARAMEDICAL COLLEGE, ALIGARH</t>
  </si>
  <si>
    <t>MAYO COLLEGE OF NURSING, AMBEDKAR NAGAR</t>
  </si>
  <si>
    <t>103.89.57.179</t>
  </si>
  <si>
    <t>Collage@321</t>
  </si>
  <si>
    <t>NARAYAN PARAMEDICAL SCIENCES, AMBEDKAR NAGAR</t>
  </si>
  <si>
    <t>RAM ADHAR NURSING COLLEGE, AMBEDKARNAGAR</t>
  </si>
  <si>
    <t>7/10/2022</t>
  </si>
  <si>
    <t>SUNDAR LAL RAMA COLLEGE OF NURSING, AMBEDKAR NAGAR</t>
  </si>
  <si>
    <t>103.162.196.112:82</t>
  </si>
  <si>
    <t>INDIRA GANDHI INSTITUTE OF PARAMEDICAL SCIENCES, AMETHI</t>
  </si>
  <si>
    <t>Hikvission</t>
  </si>
  <si>
    <t>103.61.75.143:81</t>
  </si>
  <si>
    <t>HTTP PORT- 8000</t>
  </si>
  <si>
    <t>IGIPSMA@123</t>
  </si>
  <si>
    <t>INDIRA GANDHI SCHOOL OF NURSING, AMETHI</t>
  </si>
  <si>
    <t>59.99.158.67</t>
  </si>
  <si>
    <t>G.M.S. COLLEGE OF NURSING AND PARAMEDICAL SCIENCES, AMROHA</t>
  </si>
  <si>
    <t>117.247.170.207</t>
  </si>
  <si>
    <t>azk@786@</t>
  </si>
  <si>
    <t xml:space="preserve">This page is not working </t>
  </si>
  <si>
    <t>SHRI GULAB SINGH COLLEGE OF NURSING AND PARAMEDICAL, AURAIYA</t>
  </si>
  <si>
    <t>AYODHYA VIDYAPEETH COLLEGE OF NURSING AND PARAMEDICAL SCIENCES, AYODHYA</t>
  </si>
  <si>
    <t>117.211.13.77</t>
  </si>
  <si>
    <t>Router address</t>
  </si>
  <si>
    <t>CHIRANJEEV NURSING INSTITUTE, FAIZABAD</t>
  </si>
  <si>
    <t>INDIAN INSTITUTE OF MEDICAL SCIENCES, FAIZABAD</t>
  </si>
  <si>
    <t>HIKVISION</t>
  </si>
  <si>
    <t>117.220.15.161</t>
  </si>
  <si>
    <t>------</t>
  </si>
  <si>
    <t>INSTITUTE OF OPTOMETRY AYODHYA EYE HOSPITAL, FAIZABAD</t>
  </si>
  <si>
    <t>JAGAT INSTITUTE OF TRAUMA &amp; ORTHOPEDICS &amp; COLLEGE OF PARAMEDICAL SCIENCES, FAIZABAD</t>
  </si>
  <si>
    <t>JHUNJHUNWALA INSTITUTE OF MEDICAL SCIENCES, FAIZABAD</t>
  </si>
  <si>
    <t>103.53.165.5</t>
  </si>
  <si>
    <t>username / password mismatch</t>
  </si>
  <si>
    <t>MAA SHARDA NURSING AND PARAMEDICAL COLLEGE, AYODHYA</t>
  </si>
  <si>
    <t>117.211.13.76</t>
  </si>
  <si>
    <t>ALL INDIA CHILDREN CARE &amp; EDUCATIONAL DEVELOPMENT SOCIETY, AZAMGARH</t>
  </si>
  <si>
    <t>Cp Plus</t>
  </si>
  <si>
    <t>103.61.75.168</t>
  </si>
  <si>
    <t>AZAD NURSING COLLEGE, AZAMGARH</t>
  </si>
  <si>
    <t>S-16C2H-2M</t>
  </si>
  <si>
    <t>No resut</t>
  </si>
  <si>
    <t>BABA RAM SANEHI DAS SCHOOL OF NURSING, AZAMGARH</t>
  </si>
  <si>
    <t>Can't reach this page</t>
  </si>
  <si>
    <t>BABA SADHAV RAM PARAMEDICAL COLLEGE &amp; HOSPITAL, AZAMGARH</t>
  </si>
  <si>
    <t>117.247.233.198</t>
  </si>
  <si>
    <t>8 and 8</t>
  </si>
  <si>
    <t>mprj@9678</t>
  </si>
  <si>
    <t>Gave router address</t>
  </si>
  <si>
    <t>SRI BABA SADHAVRAM PARAMEDICAL &amp; NURSING COLLEGE, AZAMGARH</t>
  </si>
  <si>
    <t>CHRISTIAN HOSPITAL SEWA SANSTHAN, AZAMGARH</t>
  </si>
  <si>
    <t>117.247.233.199</t>
  </si>
  <si>
    <t>admin@1234</t>
  </si>
  <si>
    <t>CHRISTIAN HOSPITAL, AZAMGARH</t>
  </si>
  <si>
    <t>12/10/2020</t>
  </si>
  <si>
    <t>COLLEGE OF PARAMEDICALS, CHRISTIAN HOSPITAL SEWA SANSTHAN, AZAMGARH</t>
  </si>
  <si>
    <t>MISSION COLLEGE OF PHYSIOTHERAPY, AZAMGARH</t>
  </si>
  <si>
    <t>MAA KAUSHILYA SCHOOL OF NURSING &amp; PARAMEDICAL SCIENCES, AZAMGARH</t>
  </si>
  <si>
    <t>16 CH</t>
  </si>
  <si>
    <t>MAA KAUSHILYA SCHOOL OF NURSING, AZAMGARH</t>
  </si>
  <si>
    <t>16 ch</t>
  </si>
  <si>
    <t>MAA SHAHZADI DEVI MEMORIAL SCHOOL OF NURSING, AZAMGARH</t>
  </si>
  <si>
    <t>103.160.73.77</t>
  </si>
  <si>
    <t>NAV JEEVAN-JYOTI HOSPITAL &amp; RESEARCH CENTRE, AZAMGARH</t>
  </si>
  <si>
    <t>R.K. INSTITUTE OF NURSING &amp; PARAMEDICAL, AZAMGARH</t>
  </si>
  <si>
    <t>Incorrect IP</t>
  </si>
  <si>
    <t>SRI DURGA JI NURSING SCHOOL, AZAMGARH</t>
  </si>
  <si>
    <t xml:space="preserve">16 PORT </t>
  </si>
  <si>
    <t xml:space="preserve">IP Not Given </t>
  </si>
  <si>
    <t>VEDANTA SCHOOL OF NURSING AND PARAMEDICAL SCIENCES, AZAMGARH</t>
  </si>
  <si>
    <t>103.163.124.44</t>
  </si>
  <si>
    <t>couldn't access because of plug-in requirement</t>
  </si>
  <si>
    <t>VEDANTA SCHOOL OF NURSING, AZAMGARH</t>
  </si>
  <si>
    <t>CH. CHARAN SINGH MEDICAL INSTITUTE, BAGHPAT</t>
  </si>
  <si>
    <t>CH. KEHAR SINGH INSTITUTE OF PARAMEDICAL SCIENCES &amp; HOSPITAL, BAGHPAT</t>
  </si>
  <si>
    <t xml:space="preserve">Al Hua </t>
  </si>
  <si>
    <t>203.194.111.72</t>
  </si>
  <si>
    <t>admin321</t>
  </si>
  <si>
    <t>SRI KRISHNA COLLEGE OF NURSING EDUCATION, BAGHPAT</t>
  </si>
  <si>
    <t>JBB Secure (NVR)</t>
  </si>
  <si>
    <t>14.102.8.226</t>
  </si>
  <si>
    <t>n@ren</t>
  </si>
  <si>
    <t>SYADWAD INSTITUTE OF HIGHER EDUCATION &amp; RESEARCH, BAGHPAT</t>
  </si>
  <si>
    <t>DR. SARVESH KUMAR SHUKLA INSTITUTE OF NURSING AND PARAMEDICAL SCIENCES, BAHRAICH</t>
  </si>
  <si>
    <t>Tvt</t>
  </si>
  <si>
    <t>122.187.13.58</t>
  </si>
  <si>
    <t>80 MEDIA PORT 6036</t>
  </si>
  <si>
    <t>SPARK COLLEGE OF PARAMEDICAL SCIENCES AND NURSING, BAHRAICH</t>
  </si>
  <si>
    <t>DR. MAHAVEER SINGH NURSING COLLEGE, BALLIA</t>
  </si>
  <si>
    <t>103.137.17.29</t>
  </si>
  <si>
    <t>Router IP given</t>
  </si>
  <si>
    <t>MAA ASARFI NURSING SCHOOL ASARFI HOSPITAL, BALLIA</t>
  </si>
  <si>
    <t>MAA MATURANI DEVI MAHAVIDYALAYA NURSING PRASIKSHAN KENDRA, BALLIA</t>
  </si>
  <si>
    <t>Page not working</t>
  </si>
  <si>
    <t>SHAIL SUBHASH ISTITUTE OF PARAMEDICAL SCIENCES, BALLIA</t>
  </si>
  <si>
    <t>103.61.75.170</t>
  </si>
  <si>
    <t>SSIPSEXAM</t>
  </si>
  <si>
    <t>Ssips@435</t>
  </si>
  <si>
    <t>SHANTI INSTITUTE OF NURSING AND PARAMEDICAL COLLEGE, BALLIA</t>
  </si>
  <si>
    <t>SHANTI SINGH MEMORIAL INSTITUTE &amp; RESEARCH CENTRE, BALLIA</t>
  </si>
  <si>
    <t>103.153.226.77</t>
  </si>
  <si>
    <t>SRI SAHDEV PAUDHARIYA AMBEDKAR SEWA SANSTHAN, BALLIA</t>
  </si>
  <si>
    <t>http://117.247.233.194:81/</t>
  </si>
  <si>
    <t>SIR SAYYED SCHOOL OF PARA MEDICAL SCIENCES, BALRAMPUR</t>
  </si>
  <si>
    <t>BANDA PARAMEDICAL COLLEGE &amp; NURSING SCHOOL, BANDA</t>
  </si>
  <si>
    <t>202.91.87.83</t>
  </si>
  <si>
    <t>123456789@</t>
  </si>
  <si>
    <t>BANDA PARAMEDICAL COLLEGE, NAWAB BANDA CHARITY HOSPITAL, BANDA</t>
  </si>
  <si>
    <t>MANGAL MAYA INSTITUTE OF NURSING &amp; PARAMEDICAL SCIENCES, BANDA</t>
  </si>
  <si>
    <t>SHRI RAJARAM MEMORIAL EYE HOSPITAL, BANDA</t>
  </si>
  <si>
    <t>202.91.87.88</t>
  </si>
  <si>
    <t>abc@1234</t>
  </si>
  <si>
    <t>IP Working Slow</t>
  </si>
  <si>
    <t>AKANKSHA INSTITUTE OF PARAMEDICALS, BHITRIA, BARABANKI</t>
  </si>
  <si>
    <t>.</t>
  </si>
  <si>
    <t>Ip address not giving</t>
  </si>
  <si>
    <t>CHANDRA HOSPITAL &amp; RESEARCH CENTRE, BARABANKI</t>
  </si>
  <si>
    <t xml:space="preserve">Did not send any data </t>
  </si>
  <si>
    <t>DR. AVADHESH PRAKASH SHARMA COLLEGE OF NURSING, BARABANKI</t>
  </si>
  <si>
    <t>117.220.15.103.:85</t>
  </si>
  <si>
    <t>Admin@12345</t>
  </si>
  <si>
    <t>HIND INSTITUTE OF MEDICAL SCIENCES, BARABANKI</t>
  </si>
  <si>
    <t>ROUTER</t>
  </si>
  <si>
    <t>103.221.81.42:81</t>
  </si>
  <si>
    <t>univ</t>
  </si>
  <si>
    <t>univ@12345</t>
  </si>
  <si>
    <t>MAYO COLLEGE OF PARAMEDICAL SCIENCES, BARABANKI</t>
  </si>
  <si>
    <t>MAYO INSTITUTE OF MEDICAL SCIENCES, BARABANKI</t>
  </si>
  <si>
    <t>115.243.37.139</t>
  </si>
  <si>
    <t>mims1</t>
  </si>
  <si>
    <t>mims@2022</t>
  </si>
  <si>
    <t>P.P.S. COLLEGE OF NURSING, BARABANKI</t>
  </si>
  <si>
    <t>117.247.226.70</t>
  </si>
  <si>
    <t>NA</t>
  </si>
  <si>
    <t>Pps@1234</t>
  </si>
  <si>
    <t>SHAKEEL COLLEGE OF NURSING, BARABANKI</t>
  </si>
  <si>
    <t>103.251.222.124</t>
  </si>
  <si>
    <t>scn@1214</t>
  </si>
  <si>
    <t>SHERWOOD INSTITUTE OF PARAMEDICAL SCIENCES, BARABANKI</t>
  </si>
  <si>
    <t>144.48.170.135:81</t>
  </si>
  <si>
    <t>abc@123</t>
  </si>
  <si>
    <t>ARYA INSTITUTE OF PARAMEDICAL SCIENCES, BAREILLY</t>
  </si>
  <si>
    <t>ASIAN COLLEGE OF NURSING, BARIELLY</t>
  </si>
  <si>
    <t>Hikvision</t>
  </si>
  <si>
    <t>103.126.62.24</t>
  </si>
  <si>
    <t>admin1234</t>
  </si>
  <si>
    <t>BAREILLY INSTITUTE OF PARA MEDICAL SCIENCES, BAREILLY</t>
  </si>
  <si>
    <t>Not given IP</t>
  </si>
  <si>
    <t>CLARA SWAIN HOSPITAL, BAREILLY</t>
  </si>
  <si>
    <t>43.225.69.19</t>
  </si>
  <si>
    <t>hik@12345</t>
  </si>
  <si>
    <t>FUTURE INSTITUTE OF MEDICAL SCIENCES, BAREILLY</t>
  </si>
  <si>
    <t>103.94.112.37</t>
  </si>
  <si>
    <t>01</t>
  </si>
  <si>
    <t>GANGA SHEEL PARA MEDICAL COLLEGE, BAREILLY</t>
  </si>
  <si>
    <t>16+16</t>
  </si>
  <si>
    <t>GANGA SHEEL SCHOOL OF NURSING, BAREILLY</t>
  </si>
  <si>
    <t>JYOTI COLLEGE OF MANAGEMENT SCIENCE &amp; TECHNOLOGY, BAREILLY</t>
  </si>
  <si>
    <t>KESHLATA HOSPITAL, BAREILLY</t>
  </si>
  <si>
    <t>hikvision</t>
  </si>
  <si>
    <t>103.194.192.210</t>
  </si>
  <si>
    <t>techno123</t>
  </si>
  <si>
    <t>KRITIKA NURSING COLLEGE, BAREILLY</t>
  </si>
  <si>
    <t>MAHENDRA GAYATRI PARAMEDICAL COLLEGE, BAREILLY</t>
  </si>
  <si>
    <t>Server Port 8000, HTTP Port 80, RTSP Port 554</t>
  </si>
  <si>
    <t>MAHENDRA GAYATRI SCHOOL OF NURSING, BAREILLY</t>
  </si>
  <si>
    <t>RAJSHREE INSTITUTE OF PARAMEDICAL SCIENCES, BAREILLY</t>
  </si>
  <si>
    <t>115.243.174.68:88</t>
  </si>
  <si>
    <t>rinb</t>
  </si>
  <si>
    <t>user@123</t>
  </si>
  <si>
    <t>RAJSHREE NURSING INSTITUTE, BAREILLY</t>
  </si>
  <si>
    <t>R.K. INSTITUTE OF MEDICAL SCIENCES, BAREILLY</t>
  </si>
  <si>
    <t>103.194.192.219</t>
  </si>
  <si>
    <t>RAVI KANWAL NURSING HOME, BAREILLY</t>
  </si>
  <si>
    <t>ROHILKHAND COLLEGE OF PARAMEDICAL SCIENCES, BAREILLY</t>
  </si>
  <si>
    <t>103.194.192.220</t>
  </si>
  <si>
    <t xml:space="preserve">Not Available </t>
  </si>
  <si>
    <t>admin1</t>
  </si>
  <si>
    <t>Id And Password Wrong</t>
  </si>
  <si>
    <t>ROHILKHAND MEDICAL COLLEGE &amp; HOSPITAL, BAREILLY</t>
  </si>
  <si>
    <t xml:space="preserve">None </t>
  </si>
  <si>
    <t>To Be Checked</t>
  </si>
  <si>
    <t>RUHELKHAND SCHOOL OF NURSING, BAREILLY</t>
  </si>
  <si>
    <t>Mini Bullet</t>
  </si>
  <si>
    <t>103.194.192.225</t>
  </si>
  <si>
    <t>issuing Plug</t>
  </si>
  <si>
    <t>S.G. INSTITUTE OF NURSING, BAREILLY</t>
  </si>
  <si>
    <t>192.168.150.1</t>
  </si>
  <si>
    <t>local IP</t>
  </si>
  <si>
    <t>S.G. INSTITUTE OF PARAMEDICAL SCIENCES, BAREILLY</t>
  </si>
  <si>
    <t>IP not given</t>
  </si>
  <si>
    <t>AYISHA PARAMEDICAL COLLEGE, BIJNORE</t>
  </si>
  <si>
    <t>SAI INSTITUTE OF PARAMEDICAL SCIENCES, BAREILLY</t>
  </si>
  <si>
    <t>SARAN HOSPITAL &amp; INSTITUTE OF PARAMEDICAL SCIENCES, BAREILLY</t>
  </si>
  <si>
    <t>SHRI MUKESH JAUHARI PARAMEDICAL COLLEGE, BAREILLY</t>
  </si>
  <si>
    <t>SRI RAM MURTI SMARAK INSTITUTE OF PARAMEDICAL SCIENCES, BAREILLY</t>
  </si>
  <si>
    <t>SRI RAM MURTI SMARAK SCHOOL OF NURSING, BAREILLY</t>
  </si>
  <si>
    <t>115.243.46.98</t>
  </si>
  <si>
    <t>wcet123456</t>
  </si>
  <si>
    <t>SRI SIDDHIVINAYAK INSTITUTE OF PARAMEDICAL STUDIES, BAREILLY</t>
  </si>
  <si>
    <t>117.241.149.47</t>
  </si>
  <si>
    <t>SRI SIDDHIVINAYAK SCHOOL OF NURSING, BAREILLY</t>
  </si>
  <si>
    <t>117.241.149.47/136.232.60.26</t>
  </si>
  <si>
    <t>117.241.149.47 (ID- admin , Pass-admin123)</t>
  </si>
  <si>
    <t>VIDYA COLLEGE OF NURSING, BAREILLY</t>
  </si>
  <si>
    <t>TCP Port - 25001 , UDP Port - 25002, HTTP Port- 80 , HTTPS Port- 443 RTSP Port- 554</t>
  </si>
  <si>
    <t>Camera and network speed slow</t>
  </si>
  <si>
    <t>PRADUMAN SINGH SHIKSHAN PRASHIKSHAN SANSTHAN SCHOOL OF NURSING, BASTI</t>
  </si>
  <si>
    <t>S.R. HOSPITAL AND MEDICAL INSTITUTE, BASTI</t>
  </si>
  <si>
    <t>103.89.56.101</t>
  </si>
  <si>
    <t>srh@1234</t>
  </si>
  <si>
    <t>AAISHA NURSING COLLEGE, BIJNOR</t>
  </si>
  <si>
    <t>EKTA PARAMEDICAL COLLEGE, BIJNORE</t>
  </si>
  <si>
    <t>MATA GAYATRI DEVI SCHOOL OF NURSING, BIJNORE</t>
  </si>
  <si>
    <t>117.247.170.192:81</t>
  </si>
  <si>
    <t>HTTP PORT-80 AND SERVER CODE-8000</t>
  </si>
  <si>
    <t>this page is not working</t>
  </si>
  <si>
    <t>PRIYANKA COLLEGE OF MEDICAL SCIENCES &amp; RESEARCH CENTRE, BIJNOR</t>
  </si>
  <si>
    <t>VIVEK COLLEGE OF HEALTH &amp; MEDICAL SCIENCES, BIJNOR</t>
  </si>
  <si>
    <t>CP PLUS</t>
  </si>
  <si>
    <t>136.232.99.70</t>
  </si>
  <si>
    <t>Only medical store camera open</t>
  </si>
  <si>
    <t>DEV NURSING COLLEGE, BULANDSHAHAR</t>
  </si>
  <si>
    <t>TCP-37777</t>
  </si>
  <si>
    <t>ABHISHEK NURSING AND PARAMEDICAL INSTITUTE, CHANDAULI</t>
  </si>
  <si>
    <t>582620194  AND  C19048574</t>
  </si>
  <si>
    <t>H.D. NURSING AND PARAMEDICAL INSTITUTE, CHANDAULI</t>
  </si>
  <si>
    <t>43.225.194.156:81</t>
  </si>
  <si>
    <t>JEEVAK HOSPITAL AND RESEARCH CENTER JEEVAK PARAMEDICAL SANSTHAN, CHANDAULI</t>
  </si>
  <si>
    <t>M.D. NURSING AND PARAMEDICAL COLLEGE, CHANDAULI</t>
  </si>
  <si>
    <t>103.61.75.108</t>
  </si>
  <si>
    <t>admin12345</t>
  </si>
  <si>
    <t>MAXWELL INSTITUTE OF MEDICAL SCIENCES, CHANDAULI</t>
  </si>
  <si>
    <t>YATHARTH NURSING COLLEGE &amp; PARAMEDICAL INSTITUTE, CHANDAULI</t>
  </si>
  <si>
    <t>103.214.190.50</t>
  </si>
  <si>
    <t>16 , 8</t>
  </si>
  <si>
    <t>yatharth1122</t>
  </si>
  <si>
    <t>Abcd9090</t>
  </si>
  <si>
    <t>R.K. SINGH HOSPITAL AND INSTITUTE OF MEDICAL SCIENCES, CHITRAKOOT</t>
  </si>
  <si>
    <t>DR. ASHISH PARAMEDICAL COLLEGE, NURSING TRAINING CENTRE, DEORIA</t>
  </si>
  <si>
    <t>K.M. INSTITUTE OF PARAMEDICALS, DEORIA</t>
  </si>
  <si>
    <t>RAJ OPTOMETRY TRAINING CENTRE, DEORIA</t>
  </si>
  <si>
    <t>C.S. COLLEGE OF NURSING AND PARAMEDICAL, ETAH</t>
  </si>
  <si>
    <t>06/09/2022</t>
  </si>
  <si>
    <t>CP Puls</t>
  </si>
  <si>
    <t>14.102.49.153</t>
  </si>
  <si>
    <t>Pending</t>
  </si>
  <si>
    <t>BALRAM SINGH INSTITUTE OF NURSING AND PARAMEDICAL SCIENCES, ETAWAH</t>
  </si>
  <si>
    <t>CHAUDHARY SUGHAR SINGH NURSING AND PARAMEDICAL COLLEGE, ETAWAH</t>
  </si>
  <si>
    <t>cp plus</t>
  </si>
  <si>
    <t>103.180.42.196</t>
  </si>
  <si>
    <t>Local I.P</t>
  </si>
  <si>
    <t>J K SCHOOL OF NURSING, ETAWAH</t>
  </si>
  <si>
    <t>103.157.227.121</t>
  </si>
  <si>
    <t>J.K. COLLEGE OF GENERAL NURSING, ETAWAH</t>
  </si>
  <si>
    <t>KRISHNA DEVI INSTITUTE OF HEALTH AND ALLIED SCIENCES, ETAWAH</t>
  </si>
  <si>
    <t>U.P. UNIVERSITY OF MEDICAL SCIENCES, SAIFAI, ETAWAH</t>
  </si>
  <si>
    <t>255.255.255.0</t>
  </si>
  <si>
    <t>HDMI-01 RJ45-01 USB-01</t>
  </si>
  <si>
    <t>IP Wrong</t>
  </si>
  <si>
    <t>DR. ANAR SINGH NURSING AND PARAMEDICAL COLLEGE, FARRUKHABAD</t>
  </si>
  <si>
    <t>06-10-2022</t>
  </si>
  <si>
    <t>203.192.216.125</t>
  </si>
  <si>
    <t>admin1232@</t>
  </si>
  <si>
    <t>DR. SUNITA NURSING &amp; PARAMEDICAL COLLEGE, FARRUKHABAD</t>
  </si>
  <si>
    <t>203.192.216.119</t>
  </si>
  <si>
    <t xml:space="preserve">http-80 , TCP -37777 </t>
  </si>
  <si>
    <t>MAJOR S.D. SINGH MEDICAL COLLEGE AND HOSPITAL, FARRUKHABAD</t>
  </si>
  <si>
    <t>network and camera speed slow</t>
  </si>
  <si>
    <t>MAJOR S.D. SINGH NURSING SCHOOL, FARRUKHABAD</t>
  </si>
  <si>
    <t xml:space="preserve">CP Plus </t>
  </si>
  <si>
    <t>203.192.216.122</t>
  </si>
  <si>
    <t>admin@12</t>
  </si>
  <si>
    <t>P.D. NURSING &amp; PARAMEDICAL COLLEGE, FARRUKHABAD</t>
  </si>
  <si>
    <t>SCHOOL OF NURSING MEMORIAL HOSPITAL, FARRUKHABAD</t>
  </si>
  <si>
    <t>I ball</t>
  </si>
  <si>
    <t>103.210.30.99</t>
  </si>
  <si>
    <t>media port -34567 HTTP port-80</t>
  </si>
  <si>
    <t xml:space="preserve">admin </t>
  </si>
  <si>
    <t>sonmh1140</t>
  </si>
  <si>
    <t xml:space="preserve">Local IP </t>
  </si>
  <si>
    <t>SCHOOL OF OPTOMETRY MEMORIAL HOSPITAL, FARRUKHABAD</t>
  </si>
  <si>
    <t>Media port-34567, http port-80</t>
  </si>
  <si>
    <t>soo1127</t>
  </si>
  <si>
    <t>SHRI BABU SINGH DADDU JI NURSING &amp; PARAMEDICAL COLLEGE, FARRUKHABAD</t>
  </si>
  <si>
    <t>203.192.116.117</t>
  </si>
  <si>
    <t>MTU-1500 HTTP PORT:80</t>
  </si>
  <si>
    <t>sbsdj2022@</t>
  </si>
  <si>
    <t>SHRI BABU SINGH JAI SIGH NURSING &amp; PARAMRDICAL COLLEGE, FARRUKHABAD</t>
  </si>
  <si>
    <t>103.210.30.125</t>
  </si>
  <si>
    <t>SHRIMATI SHAKUNTALA DEVI NURSING AND PARAMEDICAL COLLEGE, FARRUKHABAD</t>
  </si>
  <si>
    <t>203.192.216.118</t>
  </si>
  <si>
    <t>MAA RAMRATI MEMORIAL NURSING COLLEGE, FATEHP</t>
  </si>
  <si>
    <t>103.142.53.29</t>
  </si>
  <si>
    <t>admin@1045</t>
  </si>
  <si>
    <t>5 rooms and 10 cameras</t>
  </si>
  <si>
    <t>MAA RAMRATI MEMORIAL PARAMEDICAL COLLEGE, FATEHPUR</t>
  </si>
  <si>
    <t>F.H. COLLEGE OF NURSING, FIROZABAD</t>
  </si>
  <si>
    <t>103.253.208.61</t>
  </si>
  <si>
    <t>HTTP-93,TCP-25004</t>
  </si>
  <si>
    <t>F.S. COLLEGE OF NURSING, FIROZABAD</t>
  </si>
  <si>
    <t>FIROZABAD PARAMEDICAL INSTITUTE &amp; CHARITABLE HOSPITAL, FIROZABAD</t>
  </si>
  <si>
    <t>FIROZABAD SCHOOL OF NURSING, FIROZABAD</t>
  </si>
  <si>
    <t>25001-80-554</t>
  </si>
  <si>
    <t>page isn't working</t>
  </si>
  <si>
    <t>INDU INSTITUTE OF MEDICAL SCIENCES, FIROZABAD</t>
  </si>
  <si>
    <t>ip not working</t>
  </si>
  <si>
    <t>NEELKANTH PARAMEDICAL INSTITUTE,SIRSAGANJ, FIROZABAD</t>
  </si>
  <si>
    <t>103.110.17.126</t>
  </si>
  <si>
    <t>faculty#435</t>
  </si>
  <si>
    <t>HINDUSTAN INSTITUTE OF MEDICAL SCIENCES, GREATER NOIDA</t>
  </si>
  <si>
    <t>32,64</t>
  </si>
  <si>
    <t>KAILASH INSTITUTE OF NURSING &amp; PARA MEDICAL SCIENCES, NOIDA</t>
  </si>
  <si>
    <t>103.85.118.147</t>
  </si>
  <si>
    <t>We Will provide as soon as possible.</t>
  </si>
  <si>
    <t>admin@6190#</t>
  </si>
  <si>
    <t>METRO COLLEGE OF NURSING, GAUTAM BUDH NAGAR</t>
  </si>
  <si>
    <t>103.85.118.146</t>
  </si>
  <si>
    <t>N.I.M.T. HOSPITAL, GAUTAM BUDDH NAGAR</t>
  </si>
  <si>
    <t>136.232.143.2</t>
  </si>
  <si>
    <t>NIGHTINGALE INSTITUTE OF NURSING, NOIDA</t>
  </si>
  <si>
    <t>122.176.38.147</t>
  </si>
  <si>
    <t>NOIDA INTERNATIONAL UNIVERSITY SCHOOL OF NURSING, G.B. NAGAR</t>
  </si>
  <si>
    <t>203.189.255.18:9030</t>
  </si>
  <si>
    <t>SON@22101</t>
  </si>
  <si>
    <t>SCHOOL OF NURSING, NOIDA INTERNATIONAL UNIVERSITY, G.B. NAGAR</t>
  </si>
  <si>
    <t>PRAKASH INSTITUTE OF PHYSIO. REH. &amp; ALLIED HEALTH SCIENCES, NOIDA</t>
  </si>
  <si>
    <t>122.160.57.9</t>
  </si>
  <si>
    <t>8000:80</t>
  </si>
  <si>
    <t>id password not giving</t>
  </si>
  <si>
    <t>SCHOOL OF MEDICAL SCIENCES AND RESEARCH, SHARDA UNIVERSITY, GREATER NOIDA</t>
  </si>
  <si>
    <t>14.139.238.62:80</t>
  </si>
  <si>
    <t>32 PORT</t>
  </si>
  <si>
    <t>Examination</t>
  </si>
  <si>
    <t>SSNR@2201</t>
  </si>
  <si>
    <t>SUMITRA INSTITUTE OF NURSING &amp; PARAMEDICAL SCIENCES, GAUTAM BUDH NAGAR</t>
  </si>
  <si>
    <t>103.76.139.218</t>
  </si>
  <si>
    <t>adimin1234</t>
  </si>
  <si>
    <t>AMOGHA INSTITUTE OF PROFESSIONAL &amp; TECHNICAL EDUCATION, GHAZIABAD</t>
  </si>
  <si>
    <t>08</t>
  </si>
  <si>
    <t>Local DVR IP</t>
  </si>
  <si>
    <t>BUDDHA INSTITUTE OF MANAGEMENT &amp; TECHNOLOGY, GHAZIABAD</t>
  </si>
  <si>
    <t>HTTP Port 80</t>
  </si>
  <si>
    <t>This page is not working</t>
  </si>
  <si>
    <t>D.J. COLLEGE OF PARAMEDICAL SCIENCES, MODINAGAR</t>
  </si>
  <si>
    <t>D.S. INSTITUTE OF PARAMEDICAL SCIENCES &amp; HOSPITAL, GHAZIABAD</t>
  </si>
  <si>
    <t>103.105.155.117</t>
  </si>
  <si>
    <t>SERVER PORT-8000   HTTP PORT-80    RTSP PORT-554</t>
  </si>
  <si>
    <t>D.S. SCHOOL OF NURSING, GHAZIABAD</t>
  </si>
  <si>
    <t>H.L.M. NURSING COLLEGE, GHAZIABAD</t>
  </si>
  <si>
    <t>Not Opening</t>
  </si>
  <si>
    <t>INSTITUTE OF ALLIED HEALTH SCIENCE, SARAWAT HOSPITAL, GHAZIABAD</t>
  </si>
  <si>
    <t>RAMA NURSING COLLEGE, GHAZIABAD</t>
  </si>
  <si>
    <t>RURAL INSTITUTE OF MEDICAL SCIENCE, GHAZIABAD</t>
  </si>
  <si>
    <t>SANTOSH MEDICAL COLLEGE, GHAZIABAD</t>
  </si>
  <si>
    <t>SANTOSH SCHOOL OF NURSING, GHAZIABAD</t>
  </si>
  <si>
    <t>ST. JOSEPH'S PARAMEDICAL INSTITUTE, GHAZIABAD</t>
  </si>
  <si>
    <t>http://103.159.67.25/</t>
  </si>
  <si>
    <t xml:space="preserve">NOT AVAILABLE </t>
  </si>
  <si>
    <t>test</t>
  </si>
  <si>
    <t>Test@123</t>
  </si>
  <si>
    <t>Net Speed Slow</t>
  </si>
  <si>
    <t>BABA GAJADHAR DAS NURSING COLLEGE, GHAZIPUR</t>
  </si>
  <si>
    <t>BALDEV SHRIDHAR NURSING INSTITUTE, GHAZIPUR</t>
  </si>
  <si>
    <t xml:space="preserve">Local ID </t>
  </si>
  <si>
    <t>K.S.V. COLLEGE OF NURSING &amp; MEDICAL, GHAZIPUR</t>
  </si>
  <si>
    <t>KASHINATH NURSING &amp; PARAMEDICAL COLLEGE, GAZIPUR</t>
  </si>
  <si>
    <t>14.102.43.232:83</t>
  </si>
  <si>
    <t>MAA SARASWATI PARAMEDICAL INSTITUTE, GHAZIPUR</t>
  </si>
  <si>
    <t>XPIA-I</t>
  </si>
  <si>
    <t>103.160.72.40</t>
  </si>
  <si>
    <t>R.S. PARAMEDICAL AND NURSING COLLEGE, GHAZIPUR</t>
  </si>
  <si>
    <t>103.61.75.79</t>
  </si>
  <si>
    <t>02</t>
  </si>
  <si>
    <t>rspnc@2700</t>
  </si>
  <si>
    <t>SHAM-E-HUSSAINI INSTITUTE OF NURSING COLLEGE &amp; HOSPITAL, GHAZIPUR</t>
  </si>
  <si>
    <t>CP</t>
  </si>
  <si>
    <t>103.162.200.81</t>
  </si>
  <si>
    <t>SINGH LIFE CARE NURSING &amp; PARAMEDICAL SCHOOL, GHAZIPUR</t>
  </si>
  <si>
    <t>WORLD GREEN NURSING COLLEGE, GHAZIPUR</t>
  </si>
  <si>
    <t>AVADH HOSPITAL GROUP OF INSTITUTIONS, GONDA</t>
  </si>
  <si>
    <t>AWADH C.T. SCAN EMERGENCY &amp; TRAUMA CARE INSTITUTE, GONDA</t>
  </si>
  <si>
    <t>AWADH PARAMEDICAL INSTITUTE, GONDA</t>
  </si>
  <si>
    <t>GONARD COLLEGE OF NURSING AND PARAMEDICAL SCIENCES, GONDA</t>
  </si>
  <si>
    <t>06/10/2020</t>
  </si>
  <si>
    <t>14.102.64.210</t>
  </si>
  <si>
    <t>KRS INSTITUTE OF PARAMEDICAL SCIENCES AND NURSING, GONDA</t>
  </si>
  <si>
    <t>47.15.149.39</t>
  </si>
  <si>
    <t>MAA GAYATRI INSTITUTE OF NURSING &amp; PARAMEDICAL SCIENCES, GONDA</t>
  </si>
  <si>
    <t>202.89.76.165</t>
  </si>
  <si>
    <t>static-ip not found</t>
  </si>
  <si>
    <t>R.N. PANDEY HOSPITAL &amp; PARAMEDICAL INSTITUTE, GONDA</t>
  </si>
  <si>
    <t>117.247.226.151</t>
  </si>
  <si>
    <t>16 port</t>
  </si>
  <si>
    <t>RAJA RAGURAJ SINGH NURSING COLLEGE, GONDA</t>
  </si>
  <si>
    <t>ANUPAM</t>
  </si>
  <si>
    <t>202.89.76.150</t>
  </si>
  <si>
    <t>RAVINDRA SINGH SMARAK PARAMEDICAL SCIENCE &amp; NURSING INSTITUTE, GONDA</t>
  </si>
  <si>
    <t>Local IP- will be updated on 14th Oct</t>
  </si>
  <si>
    <t>S.C.P.M. COLLEGE OF NURSING AND PARAMEDICAL SCIENCES, GONDA</t>
  </si>
  <si>
    <t>Electronic Eye</t>
  </si>
  <si>
    <t>117.220.12.12</t>
  </si>
  <si>
    <t>ADMIN</t>
  </si>
  <si>
    <t>ARYAN HOSPITAL, GORAKHPUR</t>
  </si>
  <si>
    <t>202.142.117.52</t>
  </si>
  <si>
    <t>BUDDHA PARAMEDICAL COLLEGE, GORAKHPUR</t>
  </si>
  <si>
    <t>https://103.92.162.73:8800</t>
  </si>
  <si>
    <t>exam</t>
  </si>
  <si>
    <t>exam@525</t>
  </si>
  <si>
    <t>CHANDRAMAULI SWAMINATH NURSING &amp; PARAMEDICAL COLLEGE, GORAKHPUR</t>
  </si>
  <si>
    <t>103.80.54.146.81</t>
  </si>
  <si>
    <t>1+1</t>
  </si>
  <si>
    <t>hiddeneye123</t>
  </si>
  <si>
    <t>ID And Password wrong</t>
  </si>
  <si>
    <t>COL. J.P. TRIPATHI NURSING COLLEGE, GORAKHPUR</t>
  </si>
  <si>
    <t>FATIMA HOSPITAL, GORAKHPUR</t>
  </si>
  <si>
    <t>202.142.117.116</t>
  </si>
  <si>
    <t>tech1234</t>
  </si>
  <si>
    <t>ID And Password</t>
  </si>
  <si>
    <t>GANGOTRI DEVI SCHOOL OF NURSING, GORAKHPUR</t>
  </si>
  <si>
    <t>Electronice eye</t>
  </si>
  <si>
    <t>103.176.48.48:81</t>
  </si>
  <si>
    <t>hiddeneye123 &amp; dicam123</t>
  </si>
  <si>
    <t>password error</t>
  </si>
  <si>
    <t>GORAKHPUR PARA MEDICAL INSTITUTE, GORAKHPUR</t>
  </si>
  <si>
    <t>202.142.717.113</t>
  </si>
  <si>
    <t>2 PORT HDMI &amp; VGAOUT/OUT 16 CHANNELS DVR</t>
  </si>
  <si>
    <t>GURU SHRI GORAKSHNATH SCHOOL OF NURSING, GORAKHPUR</t>
  </si>
  <si>
    <t>MAHENT AVAIDYANATH PARAMEDICAL COLLEGE, GORAKHPUR</t>
  </si>
  <si>
    <t>JEEVAN JYOTI PARAMEDICAL INSTITUTE, GORAKHPUR</t>
  </si>
  <si>
    <t>103.92.115.162</t>
  </si>
  <si>
    <t>S/N2112012320003413</t>
  </si>
  <si>
    <t>PACIFIC COLLEGE OF NURSING, GORAKHPUR</t>
  </si>
  <si>
    <t>RACHIT HOSPITAL, GORAKHPUR</t>
  </si>
  <si>
    <t>RAJ NURSING &amp; PARAMEDICAL COLLEGE, GORAKHPUR</t>
  </si>
  <si>
    <t>SAVITRI HOSPITAL &amp; PARAMEDICAL INSTITUTE, GORAKHPUR</t>
  </si>
  <si>
    <t>202.142.117.108</t>
  </si>
  <si>
    <t>SHANKAR HOSPITAL, GORAKHPUR</t>
  </si>
  <si>
    <t>103.80.54.147:81</t>
  </si>
  <si>
    <t>TCP PORT 25001</t>
  </si>
  <si>
    <t>SHANKAR NURSING &amp; PARAMEDICAL INSTITUTE, GORAKHPUR</t>
  </si>
  <si>
    <t>G.S. SCHOOL OF NURSING, HAPUR</t>
  </si>
  <si>
    <t>Ip Not Avaliable</t>
  </si>
  <si>
    <t>INSTITUTE OF INTERNATIONAL EXCELLENCE, HAPUR</t>
  </si>
  <si>
    <t>SARASWATI COLLEGE OF NURSING, HAPUR</t>
  </si>
  <si>
    <t>103.212.139.26</t>
  </si>
  <si>
    <t>ip not Working</t>
  </si>
  <si>
    <t>SARASWATI INSTITUTE OF PARAMEDICALS, HAPUR</t>
  </si>
  <si>
    <t>CP plus</t>
  </si>
  <si>
    <t>UPKAR SCHOOL OF NURSING, HAPUR</t>
  </si>
  <si>
    <t>103.155.209.16:81</t>
  </si>
  <si>
    <t>Rahul@12345</t>
  </si>
  <si>
    <t>DEVAKI MADHAV INSTITUTE OF PARAMEDICAL SCIENCES, HARDOI</t>
  </si>
  <si>
    <t>122.187.236.197</t>
  </si>
  <si>
    <t>NIRMALA INSTITUTE OF NURSING &amp; PARAMEDICAL SCIENCES, HARDOI</t>
  </si>
  <si>
    <t>103.110.17.135</t>
  </si>
  <si>
    <t>25001, 3771</t>
  </si>
  <si>
    <t>S.S. INSTITUTE OF NURSING, HARDOI</t>
  </si>
  <si>
    <t>S.S. INSTITUTE OF PARAMEDICALS, HARDOI</t>
  </si>
  <si>
    <t>A.B.G. INSTITUTE OF PARAMEDICAL SCIENCES, HATHRAS</t>
  </si>
  <si>
    <t>103.139.66.116:85</t>
  </si>
  <si>
    <t xml:space="preserve">HTTPS PORT-443, NTP SERVER PORT-123,TCP PORT- 25001, UDP PORT-25002, HTTP PORT-80, RTSP PORT- 554, </t>
  </si>
  <si>
    <t>PREM RAGHU HOSPITAL &amp; PARA MEDICAL INSTITUTE, HATHRAS</t>
  </si>
  <si>
    <t>103.174.32.137</t>
  </si>
  <si>
    <t>SHRI RAM SCHOOL OF NURSING, HATHRAS</t>
  </si>
  <si>
    <t>Wrong IP-203.189.255.18:9030</t>
  </si>
  <si>
    <t>AHSAN PARAMEDICAL COLLEGE, J.P. NAGAR</t>
  </si>
  <si>
    <t>103.255.72.69</t>
  </si>
  <si>
    <t>AHSAN PARAMEDICAL&amp; NURSING COLLEGE AMROHA</t>
  </si>
  <si>
    <t>16+4</t>
  </si>
  <si>
    <t>BHARTIYA NURSING COLLEGE, AMROHA</t>
  </si>
  <si>
    <t>GANGOTRI SCHOOL OF NURSING, J.P. NAGAR</t>
  </si>
  <si>
    <t>hikvison</t>
  </si>
  <si>
    <t>103.217.78.110</t>
  </si>
  <si>
    <t>gsn@_123</t>
  </si>
  <si>
    <t>SANJEEVANI NURSING COLLEGE, AMROHA</t>
  </si>
  <si>
    <t>snc</t>
  </si>
  <si>
    <t>snc_@123</t>
  </si>
  <si>
    <t>Router</t>
  </si>
  <si>
    <t>SCHOOL OF PARAMEDICAL, J.P. NAGAR</t>
  </si>
  <si>
    <t>SHRI VENKATESHWARA SCHOOL OF NURSING, J.P. NAGAR</t>
  </si>
  <si>
    <t>45.115.168.40:177</t>
  </si>
  <si>
    <t>:97</t>
  </si>
  <si>
    <t>nursing</t>
  </si>
  <si>
    <t>nsvu@@2022</t>
  </si>
  <si>
    <t>invalid</t>
  </si>
  <si>
    <t>ASHIRWAD NURSING AND PARAMEDICAL COLLEGE, JAUNPUR</t>
  </si>
  <si>
    <t>Local ip</t>
  </si>
  <si>
    <t>AWADH PARAMEDICAL COLLEGE, JAUNPUR</t>
  </si>
  <si>
    <t>103.163.166.16</t>
  </si>
  <si>
    <t>Page Not Openning</t>
  </si>
  <si>
    <t>INDIAN COLLEGE OF NURSING &amp; PARAMEDICAL EDUCATION, JAUNPUR</t>
  </si>
  <si>
    <t>CP Plus (DVR)</t>
  </si>
  <si>
    <t>103.163.166.57</t>
  </si>
  <si>
    <t>Pharmacy1</t>
  </si>
  <si>
    <t>cctv@123</t>
  </si>
  <si>
    <t>INDIAN EDUCATIONAL TRUST SCHOOL OF NURSING, JAUNPUR</t>
  </si>
  <si>
    <t>103.163.166.11</t>
  </si>
  <si>
    <t xml:space="preserve">pharmacy </t>
  </si>
  <si>
    <t>J.N.T. INSTITUTE OF NURSING &amp; PARAMEDICAL SCIENCES, JAUNPUR</t>
  </si>
  <si>
    <t>JAGAT NARAYAN TIWARI INSTITUTE OF NURSING, JAUNPUR</t>
  </si>
  <si>
    <t>47.15.178.220</t>
  </si>
  <si>
    <t>CP4F0009APBQ07594</t>
  </si>
  <si>
    <t>IP /ID /password Not Work</t>
  </si>
  <si>
    <t>KAMLA NURSING &amp; PARAMEDICAL COLLEGE, JAUNPUR</t>
  </si>
  <si>
    <t>202.91.70.18</t>
  </si>
  <si>
    <t>KRISHNA SCHOOL OF NURSING, JAUNPUR</t>
  </si>
  <si>
    <t>103.210.29.206</t>
  </si>
  <si>
    <t>KUNWAR HARIBANSH SINGH INSTITUTE OF NURSING &amp; PARAMEDICALS, JAUNPUR</t>
  </si>
  <si>
    <t>Prama</t>
  </si>
  <si>
    <t>117.247.236.220</t>
  </si>
  <si>
    <t>Server: 8000     HTTP: 80</t>
  </si>
  <si>
    <t>LAXMI HEALTH CARE PARAMEDICAL COLLEGE &amp; HOSPITAL, JAUNPUR</t>
  </si>
  <si>
    <t>Dhaua</t>
  </si>
  <si>
    <t>103.163.166.56</t>
  </si>
  <si>
    <t>MAHARSHI MOOLCHAND NURSING AND PARAMEDICAL COLLEGE, JAUNPUR</t>
  </si>
  <si>
    <t>202.91.79.153</t>
  </si>
  <si>
    <t>R.A.S. SCHOOL OF NURSING, JAUNPUR</t>
  </si>
  <si>
    <t>103.163.166.7</t>
  </si>
  <si>
    <t>Http port 36023</t>
  </si>
  <si>
    <t>R.K.INSTITUTE OF NURSING AND PARAMEDICAL SCIENCES, SHAHGANJ, JAUNPUR</t>
  </si>
  <si>
    <t>103.61.75.169</t>
  </si>
  <si>
    <t>sting@#88088</t>
  </si>
  <si>
    <t>RAI K.B. SINGH NURSING &amp; PARAMEDICAL COLLEGE, JAUNPUR</t>
  </si>
  <si>
    <t>103.163.166.58</t>
  </si>
  <si>
    <t>ID And Password Wrong</t>
  </si>
  <si>
    <t>SUNITA NURSING AND PARAMEDICAL COLLEGE, JAUNPUR</t>
  </si>
  <si>
    <t>202.91.78.78</t>
  </si>
  <si>
    <t>Its asking for plug-in</t>
  </si>
  <si>
    <t>KAMLA MODERN NURSING INSTITUTE, JHANSI</t>
  </si>
  <si>
    <t>103.108.7.4</t>
  </si>
  <si>
    <t>can not page open</t>
  </si>
  <si>
    <t>MAHARANI LAXMIBAI RAJKIYA PARAMEDICAL TRAINING COLLEGE, JHANSI</t>
  </si>
  <si>
    <t>RAGHVENDRA HOSPITAL &amp; NURSING TRAINING INSTITUTE, JHANSI</t>
  </si>
  <si>
    <t>Port-36666 / TCP Port- 37777</t>
  </si>
  <si>
    <t>SMT. VIDYAVATI SCHOOL OF NURSING, JHANSI</t>
  </si>
  <si>
    <t>ST. JUDE'S HOSPITAL, JHANSI</t>
  </si>
  <si>
    <t>ARSHI NURSING AND PARAMEDICAL COLLEGE, KANNAUJ</t>
  </si>
  <si>
    <t>103.224.48.107</t>
  </si>
  <si>
    <t>2206012253006892</t>
  </si>
  <si>
    <t>admin@11</t>
  </si>
  <si>
    <t>GAUTAMBUDH PARAMEDICAL COLLEGE &amp; HOSPITAL, KANNAUJ</t>
  </si>
  <si>
    <t>JEEVAN JYOTI HOSPITAL, KANNAUJ</t>
  </si>
  <si>
    <t>IP Not  Given</t>
  </si>
  <si>
    <t>KANNAUJ COLLEGE OF MEDICAL SCIENCES, KANNAUJ</t>
  </si>
  <si>
    <t>103.190.252.50</t>
  </si>
  <si>
    <t>kcoms1433</t>
  </si>
  <si>
    <t>no password required</t>
  </si>
  <si>
    <t>ANANDA SCHOOL OF NURSING, KANPUR</t>
  </si>
  <si>
    <t>117.247.168.194</t>
  </si>
  <si>
    <t>AASTHA NURSING COLLEGE, KANPUR</t>
  </si>
  <si>
    <t>ASTHA PARAMEDICAL COLLEGE, KANPUR</t>
  </si>
  <si>
    <t>CH. HARMOHAN SINGH PARAMEDICAL &amp; NURSING INSTITUTE, KANPUR</t>
  </si>
  <si>
    <t>103.108.6.29:80</t>
  </si>
  <si>
    <t>CHANDANI CHARITABLE HOSPITAL &amp; SCHOOL OF NURSING, KANPUR</t>
  </si>
  <si>
    <t>TVT Others Camera</t>
  </si>
  <si>
    <t>103.110.49.88</t>
  </si>
  <si>
    <t>CHANDANI CHARITABLE HOSPITAL OPTOMETRY TRAINING CENTER, KANPUR</t>
  </si>
  <si>
    <t>CHANDANI CHARITABLE HOSPITAL SOCIETY DIALYSIS TECHNICIAN TRAINING CENTER, KANPUR</t>
  </si>
  <si>
    <t>CITY PARAMEDICAL COLLEGE, KANPUR</t>
  </si>
  <si>
    <t>103.221.79.252</t>
  </si>
  <si>
    <t>DR. J.L.R.S. EYE HOSPITAL, KANPUR</t>
  </si>
  <si>
    <t>103.110.49.97</t>
  </si>
  <si>
    <t>key12345</t>
  </si>
  <si>
    <t>EXCEL SCHOOL OF NURSING , KANPUR</t>
  </si>
  <si>
    <t>103.221.78.157</t>
  </si>
  <si>
    <t>excel</t>
  </si>
  <si>
    <t>Excel@786</t>
  </si>
  <si>
    <t>Network Slow</t>
  </si>
  <si>
    <t>EXCEL SCHOOL OF NURSING AND PARAMEDICAL SCIENCES, KANPUR</t>
  </si>
  <si>
    <t>HRIDAY ROG SANSTHAN, KANPUR</t>
  </si>
  <si>
    <t>KANPUR PARAMEDICAL COLLEGE, KANPUR</t>
  </si>
  <si>
    <t>103.108.6.44</t>
  </si>
  <si>
    <t>8 Port</t>
  </si>
  <si>
    <t>KHAIRABAD EYE HOSPITAL &amp; MAHENDRA EYE INSTITUTE, KANPUR</t>
  </si>
  <si>
    <t>192.168.100.244</t>
  </si>
  <si>
    <t>keh@12345</t>
  </si>
  <si>
    <t>KRISHNA INSTITUTE OF NURSING SCIENCE AND RESEARCH, KANPUR</t>
  </si>
  <si>
    <t>can't reach this page</t>
  </si>
  <si>
    <t>L.L.R. HOSPITAL , KANPUR</t>
  </si>
  <si>
    <t>MADHAV NETRA KENDRA, KANPUR</t>
  </si>
  <si>
    <t>SHOBHIT</t>
  </si>
  <si>
    <t>103.110.49.66:81</t>
  </si>
  <si>
    <t>admin123456</t>
  </si>
  <si>
    <t>MARIAMPUR HOSPITAL , KANPUR</t>
  </si>
  <si>
    <t>NO</t>
  </si>
  <si>
    <t>No ip</t>
  </si>
  <si>
    <t>NARAINA NURSING COLLEGE, KANPUR</t>
  </si>
  <si>
    <t>103.210.28.34:82</t>
  </si>
  <si>
    <t>PREMIER INSTITUTE OF PARAMEDICAL SCIENCES, KANPUR</t>
  </si>
  <si>
    <t>R.K. DEVI EYE RESEARCH INSTITUTE, KANPUR</t>
  </si>
  <si>
    <t>Himanshu</t>
  </si>
  <si>
    <t>103.110.49.101</t>
  </si>
  <si>
    <t>RAMA HOSPITAL &amp; RESEARCH CENTRE, KANPUR</t>
  </si>
  <si>
    <t xml:space="preserve">GAURAV KUMAR </t>
  </si>
  <si>
    <t>HICKVISION</t>
  </si>
  <si>
    <t>103.221.77.7:1402</t>
  </si>
  <si>
    <t>smf</t>
  </si>
  <si>
    <t>live@2780</t>
  </si>
  <si>
    <t>RAMA INSTITUTE OF PARAMEDICAL SCIENCES, KANPUR</t>
  </si>
  <si>
    <t>REGENCY INSTITUTE OF NURSING, KANPUR</t>
  </si>
  <si>
    <t xml:space="preserve">Can't reach this page </t>
  </si>
  <si>
    <t>REGENCY SCHOOL OF NURSING, KANPUR</t>
  </si>
  <si>
    <t>No IP</t>
  </si>
  <si>
    <t>ROOPA NURSING HOME, KANPUR</t>
  </si>
  <si>
    <t>103.163.101.35</t>
  </si>
  <si>
    <t>NOT AVAILABLE</t>
  </si>
  <si>
    <t>S.P.M. NURSING COLLEGE, KANPUR</t>
  </si>
  <si>
    <t>SAI COLLEGE OF MEDICAL SCIENCE AND TECHNOLOGY, KANPUR</t>
  </si>
  <si>
    <t>HTTP PORT – 81, HTTPS PORT- 443, RTSP PORT -534</t>
  </si>
  <si>
    <t>SATYA EYE HOSPITAL &amp; RESEARCH INSTITUTE, KANPUR</t>
  </si>
  <si>
    <t>4.4.4.4</t>
  </si>
  <si>
    <t>DR. ATUL MEMORIAL INSTITUTE OF PARAMEDICAL SCIENCES,GHATAMPUR, KANPUR</t>
  </si>
  <si>
    <t>103.61.75.144</t>
  </si>
  <si>
    <t>SHANTI NURSING HOME &amp; MATERNITY CENTER, KANPUR</t>
  </si>
  <si>
    <t>SIGNA COLLEGE OF NURSING, KANPUR</t>
  </si>
  <si>
    <t>Active Plus</t>
  </si>
  <si>
    <t>159.138.101.123</t>
  </si>
  <si>
    <t>Can't Reach This Page</t>
  </si>
  <si>
    <t>ST. CATHERINE HOSPITAL, KANPUR</t>
  </si>
  <si>
    <t>can not reach this page</t>
  </si>
  <si>
    <t>SURAJ MEDICAL AND DIAGNOSIS PRIVATE LIMITED, KANPUR</t>
  </si>
  <si>
    <t>THE PANESIA PARAMEDICAL SCIENCES AND NURSING INSTITUTE, KANPUR</t>
  </si>
  <si>
    <t>103.89.62.132</t>
  </si>
  <si>
    <t>vlcc</t>
  </si>
  <si>
    <t>UTKARSH PARAMEDICAL COLLEGE, KANPUR</t>
  </si>
  <si>
    <t>VIMLA NURSING COLLEGE, KANPUR</t>
  </si>
  <si>
    <t>103.89.62.75:82</t>
  </si>
  <si>
    <t>YASHRAJ INSTITUTE OF PROFESSIONAL STUDIES, KANPUR</t>
  </si>
  <si>
    <t>103.210.30.14</t>
  </si>
  <si>
    <t>ANANTRAJ INSTITUE OF NURSING AND PARAMEDICAL SCIENCES, KANPUR DEHAT</t>
  </si>
  <si>
    <t>103.163.100.116</t>
  </si>
  <si>
    <t>nursing@456</t>
  </si>
  <si>
    <t>ANANTRAJ INSTITUTE OF PARAMEDICAL SCIENCES, KANPUR DEHAT</t>
  </si>
  <si>
    <t>12/102022</t>
  </si>
  <si>
    <t>CHRISTIAN HOSPITAL, KASGANJ, ETAH</t>
  </si>
  <si>
    <t>CP PLUS 2.4 HD</t>
  </si>
  <si>
    <t>45.116.68.58</t>
  </si>
  <si>
    <t>TCP25001, UDP25002, HTTP80, HTTPS443, RTSP554</t>
  </si>
  <si>
    <t>SCHOOL OF NURSING CHRISTIAN HOSPITAL, KASGANJ</t>
  </si>
  <si>
    <t>CP PLUS HD 2.4</t>
  </si>
  <si>
    <t>TCP25001, UDP25002, HTTP80, HTTPSS443, RTSP554</t>
  </si>
  <si>
    <t>KALAWATI NURSING &amp; PARAMEDICAL INSTITUTE, KASGANJ</t>
  </si>
  <si>
    <t>Can’t reach this page</t>
  </si>
  <si>
    <t>D.D.M. COLLEGE OF NURSING &amp; PARAMEDICAL SCIENCE, KAUSHAMBI</t>
  </si>
  <si>
    <t>DHANPATI DEVI MAURYA NURSING SCHOOL, KAUSHAMBI</t>
  </si>
  <si>
    <t>RANJINI MADAN SCHOOL OF NURSING AND PARAMEDICALS, KUSHI NAGAR</t>
  </si>
  <si>
    <t>103.91.121.203</t>
  </si>
  <si>
    <t>S.T.N.T. NURSING INSTITUTE, KUSHINAGAR</t>
  </si>
  <si>
    <t>LUMERA IP CAMERAS</t>
  </si>
  <si>
    <t>103.69.216.208</t>
  </si>
  <si>
    <t>abc123456</t>
  </si>
  <si>
    <t>SACHIDANAND NURSING SCHOOL, KUSHI NAGAR</t>
  </si>
  <si>
    <t>103.69.216.14</t>
  </si>
  <si>
    <t>INDRA NURSING COLLEGE, LAKHIMPUR KHERI</t>
  </si>
  <si>
    <t>K.P. NURSING &amp; PARAMEDICAL TRAINING COLLEGE, LAKHIMPUR KHERI</t>
  </si>
  <si>
    <t>117.247.171.60</t>
  </si>
  <si>
    <t>ONE BEAT COLLEGE OF MEDICAL SCIENCES, LAKHIMPUR KHEERI</t>
  </si>
  <si>
    <t>118.91.176.130</t>
  </si>
  <si>
    <t>CP5L01FF6PAZ00105</t>
  </si>
  <si>
    <t>ADMIN@1234</t>
  </si>
  <si>
    <t>ONE BEAT PARAMEDICAL INSTITUTE, LAKHIMPUR KHERI</t>
  </si>
  <si>
    <t>CP  Plus</t>
  </si>
  <si>
    <t>Paramedical</t>
  </si>
  <si>
    <t>Onebeat@01</t>
  </si>
  <si>
    <t>SHIFA COLLEGE OF MEDICAL SCIENCES, LAKHIMPUR KHERI</t>
  </si>
  <si>
    <t>DH-XVR4116HS</t>
  </si>
  <si>
    <t>no ip fond</t>
  </si>
  <si>
    <t>SRIJAN INSTITUTE OF NURSING AND PARAMEDICAL SCIENCES, LAKHIMPUR KHERI</t>
  </si>
  <si>
    <t>14.102.12.26</t>
  </si>
  <si>
    <t>Ip not given</t>
  </si>
  <si>
    <t>A.K.G. INSTITUTE OF NURSING AND PARAMEDICAL SCIENCES, LUCKNOW</t>
  </si>
  <si>
    <t>HIK Vision</t>
  </si>
  <si>
    <t>103.245.32.133</t>
  </si>
  <si>
    <t>hik12345</t>
  </si>
  <si>
    <t>A.K.G. INSTITUTE OF NURSING, LUCKNOW</t>
  </si>
  <si>
    <t>A.M.C. CENTRE &amp; SCHOOL, LUCKNOW</t>
  </si>
  <si>
    <t>AMRAPALI NURSING INSTITUTE, LUCKNOW</t>
  </si>
  <si>
    <t>avazonic</t>
  </si>
  <si>
    <t>45.122.122.149</t>
  </si>
  <si>
    <t>16 PORT</t>
  </si>
  <si>
    <t>admin@123#</t>
  </si>
  <si>
    <t>ANAND EYE HOSPITAL &amp; EDUCATION CENTRE, LUCKNOW</t>
  </si>
  <si>
    <t>RS485</t>
  </si>
  <si>
    <t>ip not given</t>
  </si>
  <si>
    <t>ANKRITE INTERNATIONAL INSTITUTE OF MEDICAL SCIENCES, LUCKNOW</t>
  </si>
  <si>
    <t>103.129.112.100</t>
  </si>
  <si>
    <t>ankerite123</t>
  </si>
  <si>
    <t>APARAJITA COLLEGE OF NURSING AND PARAMEDICAL SCIENCES, LUCKNOW</t>
  </si>
  <si>
    <t>Mr. Kaushal Giri</t>
  </si>
  <si>
    <t>AWADH INSTITUTE OF MEDICAL TECHNOLOGY AND HOSPITAL, LUCKNOW</t>
  </si>
  <si>
    <t>192.168.1.108</t>
  </si>
  <si>
    <t>aimth</t>
  </si>
  <si>
    <t>BHALCHANDRA INSTITUTE OF PARAMEDICAL SCIENCES &amp; NURSING, LUCKNOW</t>
  </si>
  <si>
    <t>Ms. Naeem Fatima</t>
  </si>
  <si>
    <t>Details not given</t>
  </si>
  <si>
    <t>BIRENDRA SHANKAR MATHUR SCHOOL OF NURSING, LUCKNOW</t>
  </si>
  <si>
    <t>180.233.122.154</t>
  </si>
  <si>
    <t>BORA INSTITUTE OF ALLIED HEALTH SCIENCES (SEWA HOSPITAL &amp; RESEARCH CENTRE), LUCKNOW</t>
  </si>
  <si>
    <t>124.123.78.93:82</t>
  </si>
  <si>
    <t>32 Port</t>
  </si>
  <si>
    <t>CAREER COLLEGE OF NURSING, LUCKNOW</t>
  </si>
  <si>
    <t>8*3=24</t>
  </si>
  <si>
    <t>CAREER COLLEGE OF PARAMEDICAL SCIENCES, LUCKNOW</t>
  </si>
  <si>
    <t>CHARAK INSTITUTE OF ALLIED HEALTH SCIENCES, LUCKNOW</t>
  </si>
  <si>
    <t>43.240.6.241:82</t>
  </si>
  <si>
    <t>CHARAK INSTITUTE OF DIALYSIS TECHNICIAN, LUCKNOW</t>
  </si>
  <si>
    <t>Secura</t>
  </si>
  <si>
    <t>43.240.6.241:83</t>
  </si>
  <si>
    <t>CHARAK INSTITUTE OF PARA MEDICAL &amp; HEALTH SCIENCES, LUCKNOW</t>
  </si>
  <si>
    <t>43.240.6.241.86</t>
  </si>
  <si>
    <t>CHARAK INSTITUTE OF PARAMEDICAL STUDIES, LUCKNOW</t>
  </si>
  <si>
    <t>43.240.6.241:84</t>
  </si>
  <si>
    <t>DR. ACHAL SINGH YADAV INSTITUTE OF NURSING AND PARAMEDICAL SCIENCES, LUCKNOW</t>
  </si>
  <si>
    <t>45.122.122.230</t>
  </si>
  <si>
    <t>7000, 8000</t>
  </si>
  <si>
    <t>DR. O.P. CHOUDHARY SCHOOL OF NURSING, LUCKNOW</t>
  </si>
  <si>
    <t>ERA SCHOOL OF NURSING, LUCKNOW</t>
  </si>
  <si>
    <t>182.156.200.180</t>
  </si>
  <si>
    <t>Eras786@</t>
  </si>
  <si>
    <t>ERA'S INSTITUTE OF ALLIED HEALTH SCIENCES &amp; RESEARCH, LUCKNOW</t>
  </si>
  <si>
    <t>ERA'S LUCKNOW MEDICAL COLLEGE &amp; HOSPITAL, LUCKNOW</t>
  </si>
  <si>
    <t>ERA'S SCHOOL OF PARAMEDICAL COURSES, LUCKNOW</t>
  </si>
  <si>
    <t>F.I. INSTITUTE OF PARAMEDICALS, LUCKNOW</t>
  </si>
  <si>
    <t>F.I. TECH TEAM</t>
  </si>
  <si>
    <t>103.74.227.231</t>
  </si>
  <si>
    <t>Admin@1234</t>
  </si>
  <si>
    <t>F.I. SCHOOL OF NURSING, LUCKNOW</t>
  </si>
  <si>
    <t>FATIMA HOSPITAL, LUCKNOW</t>
  </si>
  <si>
    <t>G.C.R.G. COLLEGE OF NURSING, LUCKNOW</t>
  </si>
  <si>
    <t>HI Foces</t>
  </si>
  <si>
    <t>103.92.162.57</t>
  </si>
  <si>
    <t>Network Speed Slow</t>
  </si>
  <si>
    <t>G.S.R.M. MEMORIAL SCHOOL OF NURSING, LUCKNOW</t>
  </si>
  <si>
    <t>103.221.80.203/103.221.80.60</t>
  </si>
  <si>
    <t>H.W.(FEMALE) TRAINING CENTRE, ALIGANJ, LUCKNOW</t>
  </si>
  <si>
    <t>HARSHIT SCHOOL OF NURSING, LUCKNOW</t>
  </si>
  <si>
    <t>HARVILAS BAL &amp; MAHILA CHIKITSALAYA, LUCKNOW</t>
  </si>
  <si>
    <t>HAYAT INSTITUTE OF NURSING, LUCKNOW</t>
  </si>
  <si>
    <t>103.210.44.181</t>
  </si>
  <si>
    <t>HIGHWAY INSTITUTE OF EMERGENCY AND TRAUMA CARE TECHNICIAN, LUCKNOW</t>
  </si>
  <si>
    <t>INDIAN INSTITUTE OF PARA MEDICAL SCIENCES, KANPUR ROAD, LUCKNOW</t>
  </si>
  <si>
    <t>INSTITUTE OF PARA MEDICAL, CHINHAT , LUCKNOW</t>
  </si>
  <si>
    <t>103.155.56.65:8080</t>
  </si>
  <si>
    <t>baba@5050</t>
  </si>
  <si>
    <t>SCHOOL OF NURSING, INSTITUTE OF PARA MEDICAL, CHINHAT , LUCKNOW</t>
  </si>
  <si>
    <t>ACADEMY OF ACUPUNCTURE AND REHABILITATION, LUCKNOW</t>
  </si>
  <si>
    <t xml:space="preserve">Not applicable </t>
  </si>
  <si>
    <t>INSTITUTE OF PHYSIOTHERAPY AND REHABILITATION, LUCKNOW</t>
  </si>
  <si>
    <t>INSTITUTE OF PUBLIC HEALTH CARE &amp; DIAGNOSTIC SCIENCES PVT. LTD., LUCKNOW</t>
  </si>
  <si>
    <t>INTEGRAL INSTITUTE OF ALLIED HEALTH SCIENCES AND RESEARCH, INTEGRAL UNIVERSITY, LUCKNOW</t>
  </si>
  <si>
    <t>193.232.12.194 : 8008</t>
  </si>
  <si>
    <t>UPSMF</t>
  </si>
  <si>
    <t>upsmf@1234</t>
  </si>
  <si>
    <t>INTEGRAL COLLEGE OF NURSING, LUCKNOW</t>
  </si>
  <si>
    <t>INTEGRAL SCHOOL OF NURSING, INTEGRAL UNIVERSITY, LUCKNOW</t>
  </si>
  <si>
    <t>JAN KALYAN EYE HOSPITAL, LUCKNOW</t>
  </si>
  <si>
    <t>JAVITRI INSTITUTE OF MEDICAL SCIENCES, LUCKNOW</t>
  </si>
  <si>
    <t>103.92.112.75</t>
  </si>
  <si>
    <t>RST@123</t>
  </si>
  <si>
    <t>User Id And Passward Wrong</t>
  </si>
  <si>
    <t>JHANVI SCHOOL OF NURSING, LUCKNOW</t>
  </si>
  <si>
    <t>27.0.183.138</t>
  </si>
  <si>
    <t xml:space="preserve">Did not match any documents </t>
  </si>
  <si>
    <t>K. K. HOSPITAL, LUCKNOW</t>
  </si>
  <si>
    <t>59.99.157.55</t>
  </si>
  <si>
    <t>K.K. INSTITUTE OF NURSING &amp; PARAMEDICAL SCIENCES, LUCKNOW</t>
  </si>
  <si>
    <t>59.99.157.55:80</t>
  </si>
  <si>
    <t>KING GEORGE'S MEDICAL UNIVERSITY INSTITUTE OF PARAMEDICAL SCIENCES, LUCKNOW</t>
  </si>
  <si>
    <t>Not Applicable</t>
  </si>
  <si>
    <t>KRISHNA NURSING &amp; PARAMEDICAL INSTITUTE, LUCKNOW</t>
  </si>
  <si>
    <t>KUNWARS COLLEGE OF NURSING, LUCKNOW</t>
  </si>
  <si>
    <t>Uniview</t>
  </si>
  <si>
    <t>103.163.200.123</t>
  </si>
  <si>
    <t>L.N.H.A. BLOOD BANK INSTITUTE, LUCKNOW</t>
  </si>
  <si>
    <t>LUCKNOW INSTITUTE OF NURSING &amp; PARAMEDICAL SCIENCES, LUCKNOW</t>
  </si>
  <si>
    <t>1.22.157.48</t>
  </si>
  <si>
    <t>lab@12345</t>
  </si>
  <si>
    <t>LUCKNOW METRO INSTITUTE OF NURSING AND PARAMEDICS, LUCKNOW</t>
  </si>
  <si>
    <t>LUCKNOW SCHOOL OF NURSING, LUCKNOW</t>
  </si>
  <si>
    <t>117.247.168.193</t>
  </si>
  <si>
    <t xml:space="preserve">Admin </t>
  </si>
  <si>
    <t>Admin@123</t>
  </si>
  <si>
    <t>M.S. HOSPITAL &amp; RESEARCH CENTRE, LUCKNOW</t>
  </si>
  <si>
    <t>115.243.37.154</t>
  </si>
  <si>
    <t>M.S. INSTITUTE OF NURSING, LUCKNOW</t>
  </si>
  <si>
    <t>115.243.37.154:80</t>
  </si>
  <si>
    <t>MAA BHAGWATI COLLEGE OF NURSING, LUCKNOW</t>
  </si>
  <si>
    <t>Site Not Open</t>
  </si>
  <si>
    <t>MAA CHANDRIKA DEVI INSTITUTE OF PARAMEDICAL SCIENCES, LUCKNOW</t>
  </si>
  <si>
    <t>103.251.220.120:8000</t>
  </si>
  <si>
    <t>Admin123</t>
  </si>
  <si>
    <t>MAYO MEDICAL CENTRE , LUCKNOW</t>
  </si>
  <si>
    <t>122.176.35.192</t>
  </si>
  <si>
    <t xml:space="preserve">TCP 37777 UDP 37778 </t>
  </si>
  <si>
    <t>mayo</t>
  </si>
  <si>
    <t>nursing123</t>
  </si>
  <si>
    <t>NISHAT HOSPITAL &amp; INSTITUTE OF PARAMEDICAL SCIENCES, SCHOOL OF NURSING, LUCKNOW</t>
  </si>
  <si>
    <t>103.47.173.179</t>
  </si>
  <si>
    <t>not available</t>
  </si>
  <si>
    <t>requires plug-in</t>
  </si>
  <si>
    <t>NOVA INSTITUTE OF NURSING &amp; PARAMEDICAL SCIENCES, LUCKNOW</t>
  </si>
  <si>
    <t>103.210.45.18</t>
  </si>
  <si>
    <t>Nova@123</t>
  </si>
  <si>
    <t>PARK DIAGNOSTIC CENTER, LUCKNOW</t>
  </si>
  <si>
    <t xml:space="preserve">16 CHENEL </t>
  </si>
  <si>
    <t>POPULAR PARAMEDICAL INSTITUTE &amp; HOSPITAL, LUCKNOW</t>
  </si>
  <si>
    <t xml:space="preserve">ip address not </t>
  </si>
  <si>
    <t>SWARN HOSPITAL, LUCKNOW</t>
  </si>
  <si>
    <t>R.K. INSTITUTE OF PARAMEDICAL SCIENCES, LUCKNOW</t>
  </si>
  <si>
    <t>RAJ CHANDRA HOSPITAL &amp; RESEARCH CENTRE, LUCKNOW</t>
  </si>
  <si>
    <t>RAJENDRA COLLEGE OF NURSING, LUCKNOW</t>
  </si>
  <si>
    <t>CP PLus</t>
  </si>
  <si>
    <t>43.240.6.244</t>
  </si>
  <si>
    <t>08 PORT</t>
  </si>
  <si>
    <t>SAHARA COLLEGE OF NURSING &amp; PARAMEDICAL SCIENCES, LUCKNOW</t>
  </si>
  <si>
    <t>This Page is not working</t>
  </si>
  <si>
    <t>SAMARPAN INSTITUTE OF NURSING &amp; PARAMEDICAL SCIENCES, LUCKNOW</t>
  </si>
  <si>
    <t>SANA HOSPITAL &amp; RESEARCH CENTRE, LUCKNOW</t>
  </si>
  <si>
    <t>SARDAR PATEL INSTITUTE OF PARA MEDICAL SCIENCES, LUCKNOW</t>
  </si>
  <si>
    <t>SARDAR PATEL SCHOOL OF NURSING, LUCKNOW</t>
  </si>
  <si>
    <t>SHAIL INSTITUTE OF NURSING, LUCKNOW</t>
  </si>
  <si>
    <t xml:space="preserve">Camera and network speed slow </t>
  </si>
  <si>
    <t>SHASHWAT-THE-INSTITUTE OF PARAMEDICAL AND NURSING, LUCKNOW</t>
  </si>
  <si>
    <t>103.157.195.60</t>
  </si>
  <si>
    <t>SHEKHAR HOSPITAL, LUCKNOW</t>
  </si>
  <si>
    <t>103.221.80.157</t>
  </si>
  <si>
    <t>SILVER JUBILEE HEALTH SCHOOL, LUCKNOW</t>
  </si>
  <si>
    <t>SRI K.L. SHASTRI SMARAK NURSING COLLEGE, LUCKNOW</t>
  </si>
  <si>
    <t>CP PLlus</t>
  </si>
  <si>
    <t>103.163.200.124</t>
  </si>
  <si>
    <t>SRI KRISHNA SCHOOL OF NURSING, LUCKNOW</t>
  </si>
  <si>
    <t>103.121.115.55:83</t>
  </si>
  <si>
    <t>32 port</t>
  </si>
  <si>
    <t>admin(ADMIN)</t>
  </si>
  <si>
    <t>Local Ip</t>
  </si>
  <si>
    <t>ST MARY'S SCHOOL OF NURSING &amp; PARAMEDICAL INSTITUTE, LUCKNOW</t>
  </si>
  <si>
    <t>C.P Plus</t>
  </si>
  <si>
    <t>103.110.36.215</t>
  </si>
  <si>
    <t>TCCP PORT - 37777</t>
  </si>
  <si>
    <t>ST. MARY'S INSTITUTE OF PARAMEDICAL SCIENCES, LUCKNOW</t>
  </si>
  <si>
    <t>SURUCHI INSTITUTE OF NURSING, LUCKNOW</t>
  </si>
  <si>
    <t>43.240.6.241.85</t>
  </si>
  <si>
    <t>SUSHRUT INSTITUTE OF PLASTIC SURGRY PVT. LTD., LUCKNOW</t>
  </si>
  <si>
    <t>27.0.180.35</t>
  </si>
  <si>
    <t>T. C. EYE PARAMEDICAL INSTITUTE OF OPTOMETRY, LUCKNOW</t>
  </si>
  <si>
    <t>T.S. MISRA COLLEGE OF NURSING, LUCKNOW</t>
  </si>
  <si>
    <t>223.31.181.123:82</t>
  </si>
  <si>
    <t>TSM@2022</t>
  </si>
  <si>
    <t>T.S. MISRA COLLEGE OF PARAMEDICAL SCIENCES, LUCKNOW</t>
  </si>
  <si>
    <t>T.S. MISRA MEDICAL COLLEGE AND HOSPITAL, LUCKNOW</t>
  </si>
  <si>
    <t>VIKAT INSTITUTE OF SCHOOL OF NURSING, LUCKNOW</t>
  </si>
  <si>
    <t>VIVEKANAND POLYCLINIC &amp; AYURVIGYAN SANSTHAN, LUCKNOW</t>
  </si>
  <si>
    <t>122.176.37.186</t>
  </si>
  <si>
    <t>vpc@12345</t>
  </si>
  <si>
    <t>Pluging</t>
  </si>
  <si>
    <t>VIVEKANAND POLYCLINIC, LUCKNOW</t>
  </si>
  <si>
    <t>Ip Not Given</t>
  </si>
  <si>
    <t>K.M.C. NURSING AND PARAMEDICAL INSTITUTE, MAHARAJGANJ</t>
  </si>
  <si>
    <t>K.N.D.M. COLLEGE OF NURSING AND PARAMEDICAL SCIENCES, MAHARAJGANJ</t>
  </si>
  <si>
    <t>43.255.165.47</t>
  </si>
  <si>
    <t>BABA@2026</t>
  </si>
  <si>
    <t>SUGREEV SINGH MEMORIAL INSTITUTE OF NURSING &amp; HOSPITAL, MAINPURI</t>
  </si>
  <si>
    <t>103.180.42.140</t>
  </si>
  <si>
    <t>cctv9027</t>
  </si>
  <si>
    <t>SUGREEV SINGH MEMORIAL INSTITUTE OF PARAMEDICAL SCIENCES &amp; HOSPITAL, MAINPURI</t>
  </si>
  <si>
    <t>BRAJ CHIKITSA SANSTHAN SCHOOL OF NURSING, MATHURA</t>
  </si>
  <si>
    <t>HIK VISION</t>
  </si>
  <si>
    <t>103.129.195.40</t>
  </si>
  <si>
    <t>ADMIN@123</t>
  </si>
  <si>
    <t>invalid username pr password</t>
  </si>
  <si>
    <t>DR. MAHADEVI INSTITUTE OF MEDICAL SCIENCE &amp; TECHNOLOGY, MATHURA</t>
  </si>
  <si>
    <t>07/010/2022</t>
  </si>
  <si>
    <t>KALYANAM KAROTI VYAVSAIK PRASIKSHAN EVAM PUNARWAS SANSTHAN, MATHURA</t>
  </si>
  <si>
    <t>NE &amp; GEN</t>
  </si>
  <si>
    <t>103.109.75.7:81</t>
  </si>
  <si>
    <t>mathura@12</t>
  </si>
  <si>
    <t>LIFE LINE SCHOOL OF NURSING, MATHURA</t>
  </si>
  <si>
    <t>R.K. MISSION HOSPITAL, VRINDABAN, MATHURA</t>
  </si>
  <si>
    <t>R.R. PARAMEDICAL COLLEGE &amp; HOSPITAL, MATHURA</t>
  </si>
  <si>
    <t>103.47.57.94</t>
  </si>
  <si>
    <t>gautam@123</t>
  </si>
  <si>
    <t>S. M. NURSING COLLEGE, MATHURA</t>
  </si>
  <si>
    <t>S.R.C. NURSING AND PARAMEDICAL INSTITUTE, MATHURA</t>
  </si>
  <si>
    <t>103.254.59.160</t>
  </si>
  <si>
    <t>FATIMA HOSPITAL , MAU</t>
  </si>
  <si>
    <t>PRAKASH NURSING SCHOOL, MAU</t>
  </si>
  <si>
    <t>103.160.72.32</t>
  </si>
  <si>
    <t>SAINIK NURSING AND PARAMEDICAL SCHOOL, MAU</t>
  </si>
  <si>
    <t>117.247.236.204</t>
  </si>
  <si>
    <t>ansps4427j</t>
  </si>
  <si>
    <t>SAINIK SCHOOL OF NURSING, MAU</t>
  </si>
  <si>
    <t>SHARDA NARAYAN INSTITUTE OF NURSING AND PARAMEDICAL SCIENCES, MAU</t>
  </si>
  <si>
    <t xml:space="preserve">CP Plus Orange </t>
  </si>
  <si>
    <t>103.61.74.143</t>
  </si>
  <si>
    <t>VANDANA SIDDHIDATRI PARAMEDICAL COLLEGE, MAU</t>
  </si>
  <si>
    <t xml:space="preserve">  </t>
  </si>
  <si>
    <t>ABHIRAM INSTITUTE OF APPLIED HEALTH SCIENCES &amp; HOSPITAL, MEERUT</t>
  </si>
  <si>
    <t>ANAND INSTITUTE OF PARAMEDICAL SCIENCES, MEERUT</t>
  </si>
  <si>
    <t>ANAND NURSING COLLEGE, MEERUT</t>
  </si>
  <si>
    <t>dhaua</t>
  </si>
  <si>
    <t>115.246.112.243</t>
  </si>
  <si>
    <t>N/A</t>
  </si>
  <si>
    <t>I.I.M.T. COLLEGE OF MEDICAL SCIENCES, MEERUT</t>
  </si>
  <si>
    <t>14.97.185.108:90</t>
  </si>
  <si>
    <t>J.M.C. INSTITUTE OF MEDICAL SCIENCES, MEERUT</t>
  </si>
  <si>
    <t>K.M.C. COLLEGE OF NURSING AND PARAMEDICAL SCIENCES, MEERUT</t>
  </si>
  <si>
    <t>Not Found</t>
  </si>
  <si>
    <t>K.M.C. COLLEGE OF NURSING, MEERUT</t>
  </si>
  <si>
    <t>KALKA INSTITUTE FOR RESEARCH AND ADVANCED STUDIES, MEERUT</t>
  </si>
  <si>
    <t>103.211.190.197</t>
  </si>
  <si>
    <t>ip Not Working</t>
  </si>
  <si>
    <t>L. L. R. M. MEDICAL COLLEGE , MEERUT</t>
  </si>
  <si>
    <t>MAHALAXMI PARAMEDICAL COLLEGE AND HOSPITAL, MEERUT</t>
  </si>
  <si>
    <t>MAHAVEER NURSING AND PARAMEDICAL COLLEGE, MEERUT</t>
  </si>
  <si>
    <t>tcp port 25001 http port 80</t>
  </si>
  <si>
    <t>MEERUT INSTITUTE OF PARA MEDICAL SCIENCES &amp; HOSPITAL, MEERUT</t>
  </si>
  <si>
    <t>MEERUT NURSING COLLEGE, MEERUT</t>
  </si>
  <si>
    <t>LAN PORT</t>
  </si>
  <si>
    <t>182.71.44.133:7999</t>
  </si>
  <si>
    <t>MEERUT PARAMEDICAL COLLEGE, MEERUT</t>
  </si>
  <si>
    <t>182.71.44.133:7999 (ID-admin , Pass- ADMIN@123)</t>
  </si>
  <si>
    <t>NATIONAL CAPITAL REGION INSTITUTE OF MEDICAL SCIENCES, MEERUT</t>
  </si>
  <si>
    <t>PANNA DHAI MAA SUBHARTI NURSING COLLEGE, MEERUT</t>
  </si>
  <si>
    <t>CP Plus IP</t>
  </si>
  <si>
    <t>200.10.9.227</t>
  </si>
  <si>
    <t xml:space="preserve">http port 80 </t>
  </si>
  <si>
    <t>admin@123456</t>
  </si>
  <si>
    <t>SUBHARTI K.K.B. CHARITBLE TRUST, MEERUT</t>
  </si>
  <si>
    <t>SACHIN</t>
  </si>
  <si>
    <t>182.74.167.38:81</t>
  </si>
  <si>
    <t>SUBHARTI MEDICAL COLLEGE, MEERUT</t>
  </si>
  <si>
    <t>RADHA GOVIND INSTITUTE OF NURSING SCIENCES, MEERUT</t>
  </si>
  <si>
    <t>SAHARA INSTITUTE OF PROFESSIONAL STUDIES, MEERUT</t>
  </si>
  <si>
    <t>SHREE RAM NURSING COLLEGE, MEERUT</t>
  </si>
  <si>
    <t>Port not set</t>
  </si>
  <si>
    <t>user id and passward not given</t>
  </si>
  <si>
    <t>UMALOK CHARITABLE TRUST, MEERUT</t>
  </si>
  <si>
    <t>59.98.148.89</t>
  </si>
  <si>
    <t>UMALOK SCHOOL OF NURSING, MEERUT</t>
  </si>
  <si>
    <t>NIL</t>
  </si>
  <si>
    <t>AMBEDKAR GENERAL NURSING TRAINING CENTRE, MIRZAPUR</t>
  </si>
  <si>
    <t>INSTITUTE OF COMPLIMENTARY MEDICINE NARAYANPUR, MIRZAPUR</t>
  </si>
  <si>
    <t>103.61.75.164</t>
  </si>
  <si>
    <t>POPULAR NURSING SCHOOL &amp; PARAMEDICAL INSTITUTE, MIRZAPUR</t>
  </si>
  <si>
    <t>203.194.111.73</t>
  </si>
  <si>
    <t>POPULAR NURSING SCHOOL, MIRZAPUR</t>
  </si>
  <si>
    <t>RAM LALIT SINGH PARAMEDICAL INSTITUTE OF MEDICAL SCIENCES, MIRZAPUR</t>
  </si>
  <si>
    <t>GURUKUL SCHOOL OF NURSING, MORADABAD</t>
  </si>
  <si>
    <t>MORADABAD INSTITUTE OF PARAMEDICAL &amp; HOSPITAL, MORADABAD</t>
  </si>
  <si>
    <t>PHOTON PARAMEDICAL COLLEGE, MORADABAD</t>
  </si>
  <si>
    <t>103.217.79.9</t>
  </si>
  <si>
    <t>admin#123</t>
  </si>
  <si>
    <t>R.S.D. ACADEMY INSTITUTE OF MEDICAL SCIENCES, MORADABAD</t>
  </si>
  <si>
    <t>DVR IP Not mantion</t>
  </si>
  <si>
    <t>SHREE SATYA COLLEGE OF MEDICAL SCIENCES, MORADABAD</t>
  </si>
  <si>
    <t>SUKHDEI SMARAK INSTITUTE OF NURSING &amp; PARAMEDICAL SCIENCES, MORADABAD</t>
  </si>
  <si>
    <t>TEERTHANKER MAHAVEER COLLEGE OF NURSING, MORADABAD</t>
  </si>
  <si>
    <t>TEERTHANKER MAHAVEER UNIVERSITY COLLEGE OF PARAMEDICAL SCIENCES, MORADABAD</t>
  </si>
  <si>
    <t>TEERTHANKER PARSVNATH SCHOOL OF NURSING, MORADABAD</t>
  </si>
  <si>
    <t>VIVEKANAND HOSPITAL &amp; RESEARCH CENTRE, MORADABAD</t>
  </si>
  <si>
    <t>VIVEKANANDA SCHOOL OF NURSING, MORADABAD</t>
  </si>
  <si>
    <t>BHAGWANT INSTITUTE OF MEDICAL SCIENCES, MUZAFFARNAGAR</t>
  </si>
  <si>
    <t>MUZAFFARNAGAR NURSING INSTITUTE, MUZAFFARNAGAR</t>
  </si>
  <si>
    <t>103.199.215.151</t>
  </si>
  <si>
    <t>nath 7077</t>
  </si>
  <si>
    <t>MUZAFFARNAGAR PARAMEDICAL &amp; NURSING COLLEGE, MUZAFFARNAGAR</t>
  </si>
  <si>
    <t>NEW STATE NURSING &amp; PARAMEDICAL COLLEGE, MUZAFFARNAGAR</t>
  </si>
  <si>
    <t>SWATI HOSPITAL &amp; PARAMEDICAL COLLEGE, MUZAFFARNAGAR</t>
  </si>
  <si>
    <t>KAUSHALYA DEVI SCHOOL OF OPTOMETRY, PILIBHIT</t>
  </si>
  <si>
    <t>S.S. SCHOOL OF NURSING, PILIBHIT</t>
  </si>
  <si>
    <t xml:space="preserve">Hik Vision </t>
  </si>
  <si>
    <t>80 AND 8000</t>
  </si>
  <si>
    <t>ss13579</t>
  </si>
  <si>
    <t>ss@13579</t>
  </si>
  <si>
    <t>incorrect IP</t>
  </si>
  <si>
    <t>SANJAY GANDHI SCHOOL OF NURSING, PILIBHIT</t>
  </si>
  <si>
    <t>117.241.149.177:80</t>
  </si>
  <si>
    <t>SHARDA SCHOOL OF NURSING &amp; PARAMEDICAL, PILIBHIT</t>
  </si>
  <si>
    <t>DEV PARAMEDICAL INSTITUTE OF MEDICAL SCIENCES, PRATAPGARH</t>
  </si>
  <si>
    <t>16 NVR</t>
  </si>
  <si>
    <t>RUMA INSTITUTE OF MEDICAL SCIENCE, PRATAPGARH</t>
  </si>
  <si>
    <t>SANJEEVANI NURSING COLLEGE, PRATAPGARH</t>
  </si>
  <si>
    <t>SANJEEVANI PARAMEDICAL AND NURSING COLLEGE, PRATAPGARH</t>
  </si>
  <si>
    <t>SARASVATI VIDYA MANDIR VIGYAAN AIWAM PRODYOGIKI NURSING MAHAVIDYALAYA, PRATAPGARH</t>
  </si>
  <si>
    <t>CHRISTIAN COLLEGE OF NURSING FACULTY OF HEALTH, MED SCIE, INDIGENOUS &amp; ALTERNATIVE SYS OF MED, ALLAHABAD</t>
  </si>
  <si>
    <t>No Static IP</t>
  </si>
  <si>
    <t>DR. MAHENDRA KUMAR CHOTELAL BIND COLLEGE OF NURSING AND PARAMEDICAL SCIENCES, PRAYAGRAJ</t>
  </si>
  <si>
    <t>TVT</t>
  </si>
  <si>
    <t>117.220.8.252:81</t>
  </si>
  <si>
    <t>6036,81</t>
  </si>
  <si>
    <t>FACULTY OF NURSING &amp; PARAMEDICAL STUDIES, ALLAHABAD</t>
  </si>
  <si>
    <t>GLOBAL EYE INSTITUTE OF OPTOMETRY &amp; ORTHOPTICS RESEARCH, ALLAHABAD</t>
  </si>
  <si>
    <t>168.1.116</t>
  </si>
  <si>
    <t>IP not working</t>
  </si>
  <si>
    <t>J.K. INSTITUTE OF PARAMEDICAL SCIENCES, ALLAHABAD</t>
  </si>
  <si>
    <t>103.78.15.185:85</t>
  </si>
  <si>
    <t>real4011</t>
  </si>
  <si>
    <t>JEEVAN JYOTI INSTITUTE OF MEDICAL SCIENCES, ALLAHABAD</t>
  </si>
  <si>
    <t>103.78.13.86</t>
  </si>
  <si>
    <t>JYOTI HOSPITAL, A.N.M. TRAINING CENTRE, ALLAHABAD</t>
  </si>
  <si>
    <t>JYOTI HOSPITAL, ALLAHABAD</t>
  </si>
  <si>
    <t>KAMLA NEHRU MEMORIAL HOSPITAL AND SCHOOL OF HEALTH SCIENCES, ALLAHABAD</t>
  </si>
  <si>
    <t>KAMLA NEHRU MEMORIAL HOSPITAL, ALLAHABAD</t>
  </si>
  <si>
    <t>KARMA NURSING AND PARAMEDICAL COLLEGE, ALLAHABAD</t>
  </si>
  <si>
    <t>118.91.176.9</t>
  </si>
  <si>
    <t>KEDAR NATH INSTITUTE OF PARAMEDICAL SCIENCES, ALLAHABAD</t>
  </si>
  <si>
    <t>No id password &amp; ip</t>
  </si>
  <si>
    <t>KRITI INSTITUTE OF PARAMEDICAL SCIENCES, ALLAHABAD</t>
  </si>
  <si>
    <t>MAA SHARDA COLLEGE OF NURSING &amp; PARA MEDICAL SCIENCES, ALLAHABAD</t>
  </si>
  <si>
    <t>103.78.13.83</t>
  </si>
  <si>
    <t>Admin@4321</t>
  </si>
  <si>
    <t>MAA SHARDA COLLEGE OF NURSING, ALLAHABAD</t>
  </si>
  <si>
    <t>TWO (02)</t>
  </si>
  <si>
    <t>NAZARETH HOSPITAL, ALLAHABAD</t>
  </si>
  <si>
    <t>http port 80</t>
  </si>
  <si>
    <t>OJHA NURSING AND PARAMEDICAL INSTITUTE, PRAYAGRAJ</t>
  </si>
  <si>
    <t>R.K. INSTITUTE OF PARAMEDICAL SCIENCES, ALLAHABAD</t>
  </si>
  <si>
    <t>R.K. SCHOOL OF NURSING, ALLAHABAD</t>
  </si>
  <si>
    <t>RAM NIHORA INSTITUTE OF NURSING &amp; PARAMEDICAL, ALLAHABAD</t>
  </si>
  <si>
    <t>S.R.N. HOSPITAL , ALLAHABAD</t>
  </si>
  <si>
    <t>wrong IP</t>
  </si>
  <si>
    <t>SAKET INSTITUTE OF RESEARCH &amp; PARAMEDICAL SCIENCE, ALLAHABAD</t>
  </si>
  <si>
    <t>IP Not Given</t>
  </si>
  <si>
    <t>SAVITRI NURSING AND PARAMEDICAL COLLEGE, PRAYAGRAJ</t>
  </si>
  <si>
    <t>150.107.195.45</t>
  </si>
  <si>
    <t>11,12</t>
  </si>
  <si>
    <t>agt@8080</t>
  </si>
  <si>
    <t>SRIJAN INSTITUTE OF PARAMEDICAL SCIENCES, PRAYAGRAJ</t>
  </si>
  <si>
    <t>103.61.75.141:83</t>
  </si>
  <si>
    <t>Real4011</t>
  </si>
  <si>
    <t>ST. MOTHER TERESA SCHOOL OF NURSING, ALLAHABAD</t>
  </si>
  <si>
    <t>TAMANNA INSTITUTE OF ALLIED HEALTH SCIENCES, ALLAHABAD</t>
  </si>
  <si>
    <t>80, 8000</t>
  </si>
  <si>
    <t>V.L.M. COLLEGE OF NURSING &amp; ALLIED HEALTH SCIENCES, ALLAHABAD</t>
  </si>
  <si>
    <t>103.78.12.168:81</t>
  </si>
  <si>
    <t>VATSALYA INSTITUTE OF NURSING &amp; PARAMEDICAL SCIENCES, ALLAHABAD</t>
  </si>
  <si>
    <t>103.148.144.52</t>
  </si>
  <si>
    <t>1234@4321#</t>
  </si>
  <si>
    <t>KRIPALU INSTITUTE OF BIOMEDICAL SCIENCES, RAEBARELI</t>
  </si>
  <si>
    <t>103.61.75.174</t>
  </si>
  <si>
    <t>RAGHUVIR INSTITUTE OF NURSING &amp; PARAMEDICAL SCIENCES, RAIBAREILLY</t>
  </si>
  <si>
    <t>59.99.158.39</t>
  </si>
  <si>
    <t>Not available</t>
  </si>
  <si>
    <t>IP opening but not properly</t>
  </si>
  <si>
    <t>RAJKALI INSTITUTE OF NURSING AND PARAMEDICAL SCIENCES, RAEBARELI</t>
  </si>
  <si>
    <t>Not Given</t>
  </si>
  <si>
    <t>SHAKTI INSTITUTE OF NURSING &amp; PARAMEDICAL, RAE BARELI</t>
  </si>
  <si>
    <t>DR. PRATAP SINGH MALIK COLLEGE OF NURSING &amp; HOSPITAL, RAMPUR</t>
  </si>
  <si>
    <t>MOTHER TERESA INSTITUTE OF PARAMEDICAL SCIENCES, RAMPUR</t>
  </si>
  <si>
    <t>NEELAVENI KRISHNA COLLEGE OF NURSING, RAMPUR</t>
  </si>
  <si>
    <t>hi focus</t>
  </si>
  <si>
    <t>117.247.170.211</t>
  </si>
  <si>
    <t>SAHARA NURSING COLEGE, RAMPUR</t>
  </si>
  <si>
    <t>DEOBAND UNANI MEDICAL COLLEGE HOSPITAL &amp; RESEARCH CENTRE, DEOBAND, SAHARANPUR</t>
  </si>
  <si>
    <t>cp Plus</t>
  </si>
  <si>
    <t>103.122.84.37:81</t>
  </si>
  <si>
    <t>GLOCAL COLLEGE OF NURSING AND RESEARCH CENTRE, SAHARANPUR</t>
  </si>
  <si>
    <t>GLOCAL COLLEGE OF PARAMEDICAL SCIENCE AND RESEARCH CENTRE, SAHARANPUR</t>
  </si>
  <si>
    <t>HILLARY CLINTON NURSING SCHOOL, SAHARANPUR</t>
  </si>
  <si>
    <t>59.98.148.144</t>
  </si>
  <si>
    <t>Plug in</t>
  </si>
  <si>
    <t>INDIAN INSTITUTE OF HEALTH TECHNOLOGY, DEVBAND, SAHARANPUR</t>
  </si>
  <si>
    <t>INDIAN INSTITUTE OF NURSING, SAHARANPUR</t>
  </si>
  <si>
    <t>INSTITUTE OF PARAMEDICAL SCIENCES, FROM KUNWAR SHEKHAR HOSPITAL &amp; RESEARCH CENTRE, SAHARANPUR</t>
  </si>
  <si>
    <t>KRISHNA PARAMEDICAL COLLEGE &amp; HOSPITAL, SAHARANPUR</t>
  </si>
  <si>
    <t>103.122.85.3:85</t>
  </si>
  <si>
    <t>thiis page is not working</t>
  </si>
  <si>
    <t>MAHRSHI CHARAK PARAMEDICAL COLLEGE, SAHARANPUR</t>
  </si>
  <si>
    <t>MANDHORIYA PARAMEDICAL COLLEGE, SAHARANPUR</t>
  </si>
  <si>
    <t>MOTHER TERESA NURSING SCHOOL AND HOSPITAL, SAHARANPUR</t>
  </si>
  <si>
    <t>MOTHER TERESA PARA MEDICAL COLLEGE &amp; HOSPITAL, SAHARANPUR</t>
  </si>
  <si>
    <t>PT. R.C. SHARMA PARAMEDICAL COLLEGE, SAHARANPUR</t>
  </si>
  <si>
    <t>SANJEEVANI PARAMEDICAL COLLEGE AND CHARITABLE HOSPITAL, SAHARANPUR</t>
  </si>
  <si>
    <t>SMT. MEERO DEVI PARAMEDICAL COLLEGE, SAHARANPUR</t>
  </si>
  <si>
    <t>103.171.25.203</t>
  </si>
  <si>
    <t>ROTARY SUNDAR LAL NETRA CHIKITSALAYA, SAMBHAL</t>
  </si>
  <si>
    <t>TCP PORT 37777</t>
  </si>
  <si>
    <t>SHAMBHUNATH MEMORIAL NURSING COLLEGE, SANT KABIR NAGAR</t>
  </si>
  <si>
    <t>203.194.111.220</t>
  </si>
  <si>
    <t>abc@12345</t>
  </si>
  <si>
    <t>JEEVANDEEP INSTITUTE OF NURSING AND PARAMEDICL SCIENCES, BHADOHI</t>
  </si>
  <si>
    <t>103.70.145.244</t>
  </si>
  <si>
    <t>NVR TCP - 25001</t>
  </si>
  <si>
    <t>PRATIMA NURSING COLLEGE, BHADOHI</t>
  </si>
  <si>
    <t>FLORENCE NIGHTANGLE SCHOOL OF NURSING &amp; PARA MEDICAL SCIENCES, SHAHJAHANPUR</t>
  </si>
  <si>
    <t>VARUN ARJUN COLLEGE OF NURSING, SHAHJAHANPUR</t>
  </si>
  <si>
    <t>07/10//2022</t>
  </si>
  <si>
    <t>DS-7208HQ-F1</t>
  </si>
  <si>
    <t>VARUN ARJUN SCHOOL OF NURSING, SHAHJAHANPUR</t>
  </si>
  <si>
    <t>DIVYA PARAMEDICAL COLLEGE AND HOSPITAL, SHAMLI</t>
  </si>
  <si>
    <t>GURU VASHISTH INSTITUTE OF NURSING, SHAMLI</t>
  </si>
  <si>
    <t>GURU VASHISTH PARAMEDICAL COLLEGE, SHAMLI</t>
  </si>
  <si>
    <t>P.M.D. INSTITUTE OF PARAMEDICAL SCIENCES, SIDDHARTH NAGAR</t>
  </si>
  <si>
    <t>SRI RAM BILAS INSTITUTE OF NURSING AND MEDICAL SCIENCES, SIDDHARTH NAGAR</t>
  </si>
  <si>
    <t>B.C.M. HOSPITAL KHAIRABAD, SITAPUR</t>
  </si>
  <si>
    <t>53.99.157.36</t>
  </si>
  <si>
    <t>SCHOOL OF OPTOMETRY, EYE HOSPITAL, SITAPUR</t>
  </si>
  <si>
    <t>Incorrect Login Password</t>
  </si>
  <si>
    <t>HIND INSTITUTE OF MEDICAL SCIENCES, SITAPUR</t>
  </si>
  <si>
    <t>INSTITUTE OF PARAMEDICAL SCIENCES, SITAPUR</t>
  </si>
  <si>
    <t>103.120.130.15</t>
  </si>
  <si>
    <t>REKHA EYE CARE CENTRE, SITAPUR</t>
  </si>
  <si>
    <t>04</t>
  </si>
  <si>
    <t>RENU MAHESH INSTITUTE OF NURSING SCIENCES, SITAPUR</t>
  </si>
  <si>
    <t>KIRTI INSTITUTE OF NURSING AND PARAMEDICAL SCIENCES, SONBHADRA</t>
  </si>
  <si>
    <t>110.226.219.173:8081</t>
  </si>
  <si>
    <t>SAI HOSPITAL &amp; SCHOOL OF NURSING, SONBHADRA</t>
  </si>
  <si>
    <t>ARA SHANDILYA SCHOOL OF NURSING, SULTANPUR</t>
  </si>
  <si>
    <t>8 VIDEO 4 AUDIO</t>
  </si>
  <si>
    <t>GOMTI HOSPITAL AND NURSING INSTITUTE, SULTANPUR</t>
  </si>
  <si>
    <t>KAMLA INSTITUTE OF PARAMEDICAL SCIENCES, SULTANPUR</t>
  </si>
  <si>
    <t>Cp plus</t>
  </si>
  <si>
    <t>103.110.14.190</t>
  </si>
  <si>
    <t>Kamla@230</t>
  </si>
  <si>
    <t>KAMLA NEHRU INSTITUTE OF MANAGEMENT &amp; TECHNOLOGY, SULTANPUR</t>
  </si>
  <si>
    <t>115.242.208.250:92</t>
  </si>
  <si>
    <t>user</t>
  </si>
  <si>
    <t>kngi@2022</t>
  </si>
  <si>
    <t>KARUNASHRAYA SCHOOL OF NURSING &amp; PARAMEDICAL INSTITUTE, SULTANPUR</t>
  </si>
  <si>
    <t>59.99.158.66</t>
  </si>
  <si>
    <t>best@123$</t>
  </si>
  <si>
    <t>NAVJEEVAN HOSPITAL &amp; INSTITUTE OF PARAMEDICAL SCIENCES, SULTANPUR</t>
  </si>
  <si>
    <t>SAI SCHOOL OF NURSING &amp; PARAMEDICAL INSTITUTE, SULTANPUR</t>
  </si>
  <si>
    <t>16 AUDIO 16 VIDEO 2IP CAMERA</t>
  </si>
  <si>
    <t>SULTANPUR INSTITUTE OF NURSING AND PARAMEDICAL SCIENCES, SULTANPUR</t>
  </si>
  <si>
    <t>103.110.14.202</t>
  </si>
  <si>
    <t>16 audio, 16 Vedio</t>
  </si>
  <si>
    <t>EXCEL SCHOOL OF NURSING, UNNAO</t>
  </si>
  <si>
    <t>LUCKNOW SCHOOL OF NURSING, UNNAO</t>
  </si>
  <si>
    <t>SRI RAM MURTI SMARAK COLLEGE OF NURSING AND PARAMEDICAL SCIENCES, UNNAO</t>
  </si>
  <si>
    <t>CPPLUS</t>
  </si>
  <si>
    <t>115.243.36.58/103.221.80.109</t>
  </si>
  <si>
    <t>443/8000</t>
  </si>
  <si>
    <t>pending /ID Password not working</t>
  </si>
  <si>
    <t>APEX PARAMEDICAL INSTITUTE, VARANASI</t>
  </si>
  <si>
    <t>sparsh</t>
  </si>
  <si>
    <t>103.158.131.165</t>
  </si>
  <si>
    <t>ASHIRWAD NURSING &amp; PARAMEDICAL INSTITUTE, VARANASI</t>
  </si>
  <si>
    <t>TCP PORT- 37777. HTTP PORT-80</t>
  </si>
  <si>
    <t>DR. VIJAY COLLEGE OF NURSING &amp; MEDICAL, VARANASI</t>
  </si>
  <si>
    <t>HARI BANDHU NURSING &amp; PARAMEDICAL INSTITUTE, VARANASI</t>
  </si>
  <si>
    <t>103.178.74.212:80</t>
  </si>
  <si>
    <t>HERITAGE COLLEGE OF NURSING &amp; PARAMEDICAL SCIENCES, VARANASI</t>
  </si>
  <si>
    <t>HERITAGE HOSPITAL LTD., VARANASI</t>
  </si>
  <si>
    <t>HERITAGE RURAL HEALTH SERVICES SOCIETY, VARANASI</t>
  </si>
  <si>
    <t>HERITAGE SCHOOL OF NURSING &amp; PARAMEDICAL INSTITUTE, VARANASI</t>
  </si>
  <si>
    <t>ETHERNET-PORT-1</t>
  </si>
  <si>
    <t>HERITAGE SCHOOL OF NURSING, VARANASI</t>
  </si>
  <si>
    <t>INDIAN INSTITUTE OF BIOTECHNOLOGY &amp; PARAMEDICAL SCIENCES, VARANASI</t>
  </si>
  <si>
    <t>INDRA INSTITUTE OF PARAMEDICAL AND NURSING, VARANASI</t>
  </si>
  <si>
    <t>ISHITA COLLEGE OF PARAMEDICAL SCIENCES, VARANASI</t>
  </si>
  <si>
    <t>JEEVAN DEEP SCHOOL OF NURSING, VARANASI</t>
  </si>
  <si>
    <t>LAXMI INSTITUTE OF PARAMEDICAL SCIENCES, VARANASI</t>
  </si>
  <si>
    <t>103.178.74.181</t>
  </si>
  <si>
    <t>LAXMI NURSING TRAINING INSTITUTE, VARANASI</t>
  </si>
  <si>
    <t>MERIDIAN NURSING &amp; PARAMEDICAL COLLEGE, VARANASI</t>
  </si>
  <si>
    <t>122.187.60.114</t>
  </si>
  <si>
    <t>MISSION NURSING SCHOOL, VARANASI</t>
  </si>
  <si>
    <t>103.178.74.211:86</t>
  </si>
  <si>
    <t>admin1234@</t>
  </si>
  <si>
    <t>POPULAR NURSING SCHOOL AND PARAMEDICAL INSTITUTE, VARANASI</t>
  </si>
  <si>
    <t>110.172.155.116:82</t>
  </si>
  <si>
    <t>POPULAR NURSING SCHOOL, VARANASI</t>
  </si>
  <si>
    <t>S.A.S. SCHOOL OF NURSING, VARANASI</t>
  </si>
  <si>
    <t>SAH SPECIALITY CLINIC, VARANASI</t>
  </si>
  <si>
    <t>SANTUSTI INSTITUTE OF NURSING &amp; PARAMEDICAL SCIENCES, VARANASI</t>
  </si>
  <si>
    <t>HTTP-80,TCP-37777,UDP-37778</t>
  </si>
  <si>
    <t>SHIV SURGICAL NURSING SCHOOL, VARANASI</t>
  </si>
  <si>
    <t>103.178.74.210:85</t>
  </si>
  <si>
    <t>ST. MARY'S SCHOOL OF NURSING, VARANASI</t>
  </si>
  <si>
    <t>SWAMI PARAM INSTITUTE OF NURSING AND PARAMAEDICAL, VARANASI</t>
  </si>
  <si>
    <t>UPKAR INSTITUTE OF NURSING AND PARAMEDICAL SCIENCES, VARANASI</t>
  </si>
  <si>
    <t>8 dvr</t>
  </si>
  <si>
    <t>VARANASI COLLEGE OF NURSING, VARANASI</t>
  </si>
  <si>
    <t>117.247.236.228</t>
  </si>
  <si>
    <t>TCP PORT-25001, UDP PORT - 25002, HTTP PORT-80, HTTPS PORT-443, RTSP PORT-554</t>
  </si>
  <si>
    <t>VARANASI INSTITUTE OF DIALYSIS, VARANASI</t>
  </si>
  <si>
    <t>VARANASI INSTITUTE OF OPTOMETRY, VARANASI</t>
  </si>
  <si>
    <t>F.I. SCHOOL OF NURSING &amp; PARAMEDICAL</t>
  </si>
  <si>
    <t>04/10/2022</t>
  </si>
  <si>
    <t>INSTITUTE OF PARAMMEDICAL</t>
  </si>
  <si>
    <t>03/10/2002</t>
  </si>
  <si>
    <t>16 CH. DVR-H K Vision, 32 CH NVR-Dahua, 16 CH NVR-CP Plus</t>
  </si>
  <si>
    <t>SCHOOL OF NURSING INSTITUTE OF PARAMEDICAL</t>
  </si>
  <si>
    <t>103.155.56.65:80</t>
  </si>
  <si>
    <t>Verification Status of Institutes</t>
  </si>
  <si>
    <t>Central Government</t>
  </si>
  <si>
    <t>State Government</t>
  </si>
  <si>
    <t>Private</t>
  </si>
  <si>
    <t>Total Institutes</t>
  </si>
  <si>
    <t>Not verified</t>
  </si>
  <si>
    <t>Unverified</t>
  </si>
  <si>
    <t>Total Students</t>
  </si>
  <si>
    <t>Not Verified</t>
  </si>
  <si>
    <t>% Unverified</t>
  </si>
  <si>
    <t>District-Wise Data</t>
  </si>
  <si>
    <t>S. No.</t>
  </si>
  <si>
    <t>District Name</t>
  </si>
  <si>
    <t>Verified Institutes</t>
  </si>
  <si>
    <t>Unverified Institutes</t>
  </si>
  <si>
    <t>% Verified Institutes</t>
  </si>
  <si>
    <t>Students of Verified Institutes</t>
  </si>
  <si>
    <t>Students of Unverified Institutes</t>
  </si>
  <si>
    <t>ABC</t>
  </si>
  <si>
    <t>-</t>
  </si>
  <si>
    <t>TOTAL</t>
  </si>
  <si>
    <t>Government</t>
  </si>
  <si>
    <t>Institute-Wise Data</t>
  </si>
  <si>
    <t>Student-Wise Data</t>
  </si>
  <si>
    <t xml:space="preserve">Date: </t>
  </si>
  <si>
    <t>INSTITUTES WITH VERIFIED CCTV LIVE FEED</t>
  </si>
  <si>
    <t>Total Exam Centers</t>
  </si>
  <si>
    <t>S No</t>
  </si>
  <si>
    <t>Name of Training Institute</t>
  </si>
  <si>
    <t>District</t>
  </si>
  <si>
    <t>Sector</t>
  </si>
  <si>
    <t>No. of Students</t>
  </si>
  <si>
    <t>Course</t>
  </si>
  <si>
    <t>VERIFIED</t>
  </si>
  <si>
    <t>Uploaded (Y/N)</t>
  </si>
  <si>
    <t>Feed Available</t>
  </si>
  <si>
    <t>Cameras Renamed</t>
  </si>
  <si>
    <t># of Exam Rooms</t>
  </si>
  <si>
    <t># of cameras/exam room</t>
  </si>
  <si>
    <t>BIJNOR</t>
  </si>
  <si>
    <t>VIVEKANAND POLYCLINIC, LUCKNOW / VIVEKANANDA COLLEGE OF NURSING</t>
  </si>
  <si>
    <t>GLOBAL EYE INSTITUTE OF OPTOMETRY AND ORTHOPTICS RESEARCH CENTER,</t>
  </si>
  <si>
    <t>AYISHA PARAMEDICAL COLLEGE, BIJNORE/ SAI HOSPITAL BARREILLY</t>
  </si>
  <si>
    <t xml:space="preserve"> P J INSTITUTE OF EDUCATION</t>
  </si>
  <si>
    <t>PRAYAGRAJ</t>
  </si>
  <si>
    <t>Avinash Kumar</t>
  </si>
  <si>
    <t>0072</t>
  </si>
  <si>
    <t>LUCKNOW</t>
  </si>
  <si>
    <t>Mohammad Hifzur Rehman</t>
  </si>
  <si>
    <t>0118</t>
  </si>
  <si>
    <t>Prakashini</t>
  </si>
  <si>
    <t>KANNAUJ</t>
  </si>
  <si>
    <t>0233</t>
  </si>
  <si>
    <t>BARABANKI</t>
  </si>
  <si>
    <t>VIKASH SAINI</t>
  </si>
  <si>
    <t>0461</t>
  </si>
  <si>
    <t>DEORIA</t>
  </si>
  <si>
    <t>0469</t>
  </si>
  <si>
    <t>GHAZIABAD</t>
  </si>
  <si>
    <t>GORAKHPUR</t>
  </si>
  <si>
    <t>0465</t>
  </si>
  <si>
    <t>PILIBHIT</t>
  </si>
  <si>
    <t>CHANDANI SHUKALA</t>
  </si>
  <si>
    <t>JHANSI</t>
  </si>
  <si>
    <t>Govt</t>
  </si>
  <si>
    <t>SAHARANPUR</t>
  </si>
  <si>
    <t>Shoukat Ali</t>
  </si>
  <si>
    <t>0006</t>
  </si>
  <si>
    <t>KANPUR</t>
  </si>
  <si>
    <t>no</t>
  </si>
  <si>
    <t>00</t>
  </si>
  <si>
    <t>0512</t>
  </si>
  <si>
    <t>Central Govt.</t>
  </si>
  <si>
    <t>SANDEEP KUMAR</t>
  </si>
  <si>
    <t>0538</t>
  </si>
  <si>
    <t>Mohit</t>
  </si>
  <si>
    <t>0832</t>
  </si>
  <si>
    <t>0070</t>
  </si>
  <si>
    <t>Umesh electronic</t>
  </si>
  <si>
    <t>0325</t>
  </si>
  <si>
    <t>FIROZABAD</t>
  </si>
  <si>
    <t>0467</t>
  </si>
  <si>
    <t>MORADABAD</t>
  </si>
  <si>
    <t>Bhanu Pratap</t>
  </si>
  <si>
    <t>0050</t>
  </si>
  <si>
    <t>MEERUT</t>
  </si>
  <si>
    <t>IMRAN, SHIVAM</t>
  </si>
  <si>
    <t>84778228438171105532</t>
  </si>
  <si>
    <t>0004</t>
  </si>
  <si>
    <t>No technical team</t>
  </si>
  <si>
    <t>0342</t>
  </si>
  <si>
    <t>0536</t>
  </si>
  <si>
    <t>0685</t>
  </si>
  <si>
    <t>JAVED</t>
  </si>
  <si>
    <t>SITAPUR</t>
  </si>
  <si>
    <t>0350</t>
  </si>
  <si>
    <t>SULTANPUR</t>
  </si>
  <si>
    <t>VARANASI</t>
  </si>
  <si>
    <t>0351</t>
  </si>
  <si>
    <t>GAUTAM BUDDH NAGAR</t>
  </si>
  <si>
    <t>Dr. Om Prakash</t>
  </si>
  <si>
    <t>Date: 5 Nov 2022</t>
  </si>
  <si>
    <t>PRIVATE INSTITUTES WITH UNVERIFIED CCTV LIVE FEED</t>
  </si>
  <si>
    <t>0059</t>
  </si>
  <si>
    <t>ALIGARH</t>
  </si>
  <si>
    <t>AMBEDKAR NAGAR</t>
  </si>
  <si>
    <t>BANDA</t>
  </si>
  <si>
    <t>ETAWAH</t>
  </si>
  <si>
    <t>0056</t>
  </si>
  <si>
    <t>0123</t>
  </si>
  <si>
    <t>0821</t>
  </si>
  <si>
    <t>0231</t>
  </si>
  <si>
    <t>0534</t>
  </si>
  <si>
    <t>MUZAFFARNAGAR</t>
  </si>
  <si>
    <t>SUM of No. of Students</t>
  </si>
  <si>
    <t>Grand Total</t>
  </si>
  <si>
    <t>Exam Centers which Responded</t>
  </si>
  <si>
    <t>103.253.208.61:99</t>
  </si>
  <si>
    <t>114.134.21.53</t>
  </si>
  <si>
    <t>122.176.43.46:81</t>
  </si>
  <si>
    <t>iimtagra</t>
  </si>
  <si>
    <t>IDEA@1544</t>
  </si>
  <si>
    <t>117.247.230.110</t>
  </si>
  <si>
    <t>103.144.36.174:80</t>
  </si>
  <si>
    <t>center has closed</t>
  </si>
  <si>
    <t>nvr@786#</t>
  </si>
  <si>
    <t>No Response</t>
  </si>
  <si>
    <t>Does Not Become Center</t>
  </si>
  <si>
    <t>IP not on record</t>
  </si>
  <si>
    <t>117.207.133.41</t>
  </si>
  <si>
    <t>IP not provided; will change DVR and share</t>
  </si>
  <si>
    <t>Vincent</t>
  </si>
  <si>
    <t>IP not provided; will share</t>
  </si>
  <si>
    <t xml:space="preserve">Ahmad </t>
  </si>
  <si>
    <t>103.87.45.27</t>
  </si>
  <si>
    <t>122.160.31.14</t>
  </si>
  <si>
    <t>admin@123a</t>
  </si>
  <si>
    <t>117.247.225.254</t>
  </si>
  <si>
    <t>REQUEST TIME OUT</t>
  </si>
  <si>
    <t>103.94.115.26</t>
  </si>
  <si>
    <t>HIMANSHU GAURAV</t>
  </si>
  <si>
    <t>59.98.148.149</t>
  </si>
  <si>
    <t>PANKAJ KUMAR DUBEY</t>
  </si>
  <si>
    <t xml:space="preserve">TVS </t>
  </si>
  <si>
    <t>103.89.88.58</t>
  </si>
  <si>
    <t>ashi123</t>
  </si>
  <si>
    <t>Local IP; no answer</t>
  </si>
  <si>
    <t>Pintu Pandey/ AWNISH KUMAR</t>
  </si>
  <si>
    <t>9648036932/ 7905826621</t>
  </si>
  <si>
    <t>http://103.210.31.55/</t>
  </si>
  <si>
    <t>ROUTER CONFIGURATION</t>
  </si>
  <si>
    <t>Local IP; will provide tomorrow</t>
  </si>
  <si>
    <t>Do Not Want To Become Examination Centres</t>
  </si>
  <si>
    <t>SHEELA KAPOOR</t>
  </si>
  <si>
    <t>D</t>
  </si>
  <si>
    <t>122.176.46.190</t>
  </si>
  <si>
    <t>anmtc5565</t>
  </si>
  <si>
    <t xml:space="preserve"> re congiuration</t>
  </si>
  <si>
    <t>122.185.41.30</t>
  </si>
  <si>
    <t>gssn123</t>
  </si>
  <si>
    <t>Ms. Gaus Fatima</t>
  </si>
  <si>
    <t>103.77.41.176</t>
  </si>
  <si>
    <t>14.102.64.210:80</t>
  </si>
  <si>
    <t>172.16.3.128</t>
  </si>
  <si>
    <t>Vishal singh</t>
  </si>
  <si>
    <t>103.15.254.155</t>
  </si>
  <si>
    <t>]]</t>
  </si>
  <si>
    <t>103.172.9.107:80</t>
  </si>
  <si>
    <t>103.158.131.167</t>
  </si>
  <si>
    <t>Page not opening; user name, password not provided</t>
  </si>
  <si>
    <t>yes</t>
  </si>
  <si>
    <t>172.16.3.190</t>
  </si>
  <si>
    <t>REQUEST TIME OUT(STATIC IP)</t>
  </si>
  <si>
    <t>202.91.70.33</t>
  </si>
  <si>
    <t>kcs@1234</t>
  </si>
  <si>
    <t>128.10.73.5,  145.024.206</t>
  </si>
  <si>
    <t>Wrong IP</t>
  </si>
  <si>
    <t>Date: 02 Nov 2022</t>
  </si>
  <si>
    <t>admin@1231099</t>
  </si>
  <si>
    <t>PRASHANT GOSWAMI/ Dr. Abhay Sharma</t>
  </si>
  <si>
    <t>9927818000/ 9837771818</t>
  </si>
  <si>
    <t>13/10/2022</t>
  </si>
  <si>
    <t>Sandeep Pal/ Anchal Kapoor</t>
  </si>
  <si>
    <t>7388560705/ 9450366515</t>
  </si>
  <si>
    <t>182.156.200.180:80</t>
  </si>
  <si>
    <t>43.224.183.148</t>
  </si>
  <si>
    <t>RAJ KAMAL SAXENA</t>
  </si>
  <si>
    <t>117.247.230.122</t>
  </si>
  <si>
    <t>Dr Seema Jangid</t>
  </si>
  <si>
    <t>103.144.36.174:81</t>
  </si>
  <si>
    <t>Dr.Shakeel Ahmad</t>
  </si>
  <si>
    <t>103.61.74.163</t>
  </si>
  <si>
    <t>103.249.78.118</t>
  </si>
  <si>
    <t>103.77.228.242</t>
  </si>
  <si>
    <t>ttt@1234</t>
  </si>
  <si>
    <t>Ali Aman</t>
  </si>
  <si>
    <t>Vantage</t>
  </si>
  <si>
    <t>111.98.58.162</t>
  </si>
  <si>
    <t>Exam</t>
  </si>
  <si>
    <t>K K CHAUHAN</t>
  </si>
  <si>
    <t>103.47.175.183:81</t>
  </si>
  <si>
    <t>12345678a</t>
  </si>
  <si>
    <t>103.162.197.250</t>
  </si>
  <si>
    <t>137.59.243.131</t>
  </si>
  <si>
    <t>Gulab@123</t>
  </si>
  <si>
    <t>117.211.13.77:80</t>
  </si>
  <si>
    <t>103.162.196.76:82</t>
  </si>
  <si>
    <t>ravi@123</t>
  </si>
  <si>
    <t>DR PUNEET</t>
  </si>
  <si>
    <t>103.162.196.91</t>
  </si>
  <si>
    <t>redfox</t>
  </si>
  <si>
    <t>DURGESH CHAUHAN</t>
  </si>
  <si>
    <t>103.160.73.78</t>
  </si>
  <si>
    <t>14.102.12.75</t>
  </si>
  <si>
    <t>117.211.15.18</t>
  </si>
  <si>
    <t>103.163.124.45</t>
  </si>
  <si>
    <t>ram@1234</t>
  </si>
  <si>
    <t>Swadesh</t>
  </si>
  <si>
    <t>117.247.233.196</t>
  </si>
  <si>
    <t>njj@1234</t>
  </si>
  <si>
    <t>117.247.233.213</t>
  </si>
  <si>
    <t>14.102.12.69</t>
  </si>
  <si>
    <t xml:space="preserve">mprj@9678 </t>
  </si>
  <si>
    <t>VERIFIED open ip mobile wifi netwark</t>
  </si>
  <si>
    <t>Mr. Deepak Tomar</t>
  </si>
  <si>
    <t>pankaj@1</t>
  </si>
  <si>
    <t>43.230159.6</t>
  </si>
  <si>
    <t>nusing</t>
  </si>
  <si>
    <t>Nur250609</t>
  </si>
  <si>
    <t>122.187.13.60</t>
  </si>
  <si>
    <t>Cp Puls</t>
  </si>
  <si>
    <t>103.137.17.33</t>
  </si>
  <si>
    <t>103.153.226.65</t>
  </si>
  <si>
    <t>Impact</t>
  </si>
  <si>
    <t>Ssips@1426</t>
  </si>
  <si>
    <t>Jitendra Kumar</t>
  </si>
  <si>
    <t>Vishal Chandra Gupta/ Rakesh</t>
  </si>
  <si>
    <t>7755880425/ 9956222443</t>
  </si>
  <si>
    <t>117.220.15.164:81</t>
  </si>
  <si>
    <t>Chandra@123</t>
  </si>
  <si>
    <t>RAVI SINGH</t>
  </si>
  <si>
    <t>117.220.15.103:85</t>
  </si>
  <si>
    <t>103.94.115.53</t>
  </si>
  <si>
    <t>arya@1234</t>
  </si>
  <si>
    <t>Mohd Arif Ali</t>
  </si>
  <si>
    <t>PRASHANT SHUKLA</t>
  </si>
  <si>
    <t>117.241.149.21</t>
  </si>
  <si>
    <t>103.94.112.38</t>
  </si>
  <si>
    <t>103.70.40.219</t>
  </si>
  <si>
    <t>IP Not Open</t>
  </si>
  <si>
    <t>IP not provided</t>
  </si>
  <si>
    <t>103.194.192.18</t>
  </si>
  <si>
    <t>MOHD ABID ANSARI</t>
  </si>
  <si>
    <t>103.94.112.173</t>
  </si>
  <si>
    <t>103.230.152.156:81</t>
  </si>
  <si>
    <t>mgsn@123</t>
  </si>
  <si>
    <t>Jaydeep</t>
  </si>
  <si>
    <t>Vishal</t>
  </si>
  <si>
    <t>61.246.71.146</t>
  </si>
  <si>
    <t>Mohd Taukir khan</t>
  </si>
  <si>
    <t>YOGESH KUMAR</t>
  </si>
  <si>
    <t>103.194.192.247</t>
  </si>
  <si>
    <t>122.187.45.205</t>
  </si>
  <si>
    <t>ADMINISTRATOR</t>
  </si>
  <si>
    <t>srms12345</t>
  </si>
  <si>
    <t>61.246.101.118</t>
  </si>
  <si>
    <t>Anurag Pandey</t>
  </si>
  <si>
    <t>103.89.56.189</t>
  </si>
  <si>
    <t>nvr@888888</t>
  </si>
  <si>
    <t>Mr. Umesh Guglani/ Dr Vishnoi/Pragya</t>
  </si>
  <si>
    <t>8006353807/ 9358523499/8923937475</t>
  </si>
  <si>
    <t>17/10/2022</t>
  </si>
  <si>
    <t>43.225.71.5</t>
  </si>
  <si>
    <t>IP not provided; will share tomorrow</t>
  </si>
  <si>
    <t>117.241.149.149</t>
  </si>
  <si>
    <t>115.243.45.155</t>
  </si>
  <si>
    <t>103.91.121.117</t>
  </si>
  <si>
    <t>dnc</t>
  </si>
  <si>
    <t>Dnc@_123</t>
  </si>
  <si>
    <t>103.61.75.109</t>
  </si>
  <si>
    <t>manish</t>
  </si>
  <si>
    <t>RAMU PRASAD PATEL</t>
  </si>
  <si>
    <t>117.247.233.203</t>
  </si>
  <si>
    <t>103.58.42.216</t>
  </si>
  <si>
    <t>Dhaliac NVR</t>
  </si>
  <si>
    <t>103.214.191.110</t>
  </si>
  <si>
    <t>Maxwell@123</t>
  </si>
  <si>
    <t>Pragya</t>
  </si>
  <si>
    <t>http://103.140.219.220/</t>
  </si>
  <si>
    <t>Ashutosh Singh</t>
  </si>
  <si>
    <t>103.140.219.220</t>
  </si>
  <si>
    <t>NAVNEET</t>
  </si>
  <si>
    <t>103.163.8.19:81</t>
  </si>
  <si>
    <t>103.180.42.212</t>
  </si>
  <si>
    <t>examroompara@123</t>
  </si>
  <si>
    <t>203.192.216.124</t>
  </si>
  <si>
    <t>medical@123</t>
  </si>
  <si>
    <t>SUSHEEL SHUKLA</t>
  </si>
  <si>
    <r>
      <rPr>
        <rFont val="Calibri"/>
        <color rgb="FF1155CC"/>
        <sz val="12.0"/>
        <u/>
      </rPr>
      <t>103.253.208.61:9</t>
    </r>
    <r>
      <rPr>
        <rFont val="Calibri"/>
        <color rgb="FF000000"/>
        <sz val="12.0"/>
      </rPr>
      <t>8</t>
    </r>
  </si>
  <si>
    <t>college</t>
  </si>
  <si>
    <t>103.180.43.18.80</t>
  </si>
  <si>
    <t>103.83.220.217</t>
  </si>
  <si>
    <t>IP working, but log-in failed</t>
  </si>
  <si>
    <t>139.5.196.85</t>
  </si>
  <si>
    <t>live0215</t>
  </si>
  <si>
    <t>piprams@0215</t>
  </si>
  <si>
    <t>103.105.155.39</t>
  </si>
  <si>
    <t>dev@1234</t>
  </si>
  <si>
    <t>103.155.209.17</t>
  </si>
  <si>
    <t>cctv12345@</t>
  </si>
  <si>
    <t>43.230.36.140</t>
  </si>
  <si>
    <t>103.210.29.185</t>
  </si>
  <si>
    <t>103.210.29.174</t>
  </si>
  <si>
    <t>MANNU SINGH YADAV</t>
  </si>
  <si>
    <t>61.246.74.194</t>
  </si>
  <si>
    <t>103.61.73.39</t>
  </si>
  <si>
    <t>103.15.253.29</t>
  </si>
  <si>
    <t>KSV1238</t>
  </si>
  <si>
    <t>KSV12381238</t>
  </si>
  <si>
    <t>103.162.200.122</t>
  </si>
  <si>
    <t>Mehtab</t>
  </si>
  <si>
    <t>103.158.230.4</t>
  </si>
  <si>
    <t>43.255.165.147</t>
  </si>
  <si>
    <t>AMIT</t>
  </si>
  <si>
    <t>16/10/2022</t>
  </si>
  <si>
    <t>103.177.63.186</t>
  </si>
  <si>
    <t>1234krs@</t>
  </si>
  <si>
    <t>infinite@2022</t>
  </si>
  <si>
    <t>103.177.63.190</t>
  </si>
  <si>
    <t>rss1234@</t>
  </si>
  <si>
    <t>117.241.150.16</t>
  </si>
  <si>
    <t>103.80.54.146:81</t>
  </si>
  <si>
    <t>202.142.117.115:81</t>
  </si>
  <si>
    <t>manish123</t>
  </si>
  <si>
    <t>103.176.48.48</t>
  </si>
  <si>
    <t xml:space="preserve"> dicam123</t>
  </si>
  <si>
    <t>AJETA</t>
  </si>
  <si>
    <t>7311100132, 8934947165</t>
  </si>
  <si>
    <t>117.236.103.124</t>
  </si>
  <si>
    <t>exam@123</t>
  </si>
  <si>
    <t>202.142.117.120</t>
  </si>
  <si>
    <t>KULVINDER SINGH</t>
  </si>
  <si>
    <t>103.155.209.4</t>
  </si>
  <si>
    <t>Gyan@123</t>
  </si>
  <si>
    <t>PANASONIC</t>
  </si>
  <si>
    <t>103.249.239.225</t>
  </si>
  <si>
    <t>103.217.78.52:820</t>
  </si>
  <si>
    <t>bnc</t>
  </si>
  <si>
    <t>bnc@_123</t>
  </si>
  <si>
    <t>103.217.78.110:810</t>
  </si>
  <si>
    <t>RAKESH KUMAR</t>
  </si>
  <si>
    <t>13102022</t>
  </si>
  <si>
    <t xml:space="preserve">45.115.168.40:177 </t>
  </si>
  <si>
    <t>103.210.29.205</t>
  </si>
  <si>
    <t>103.163.166.50</t>
  </si>
  <si>
    <t>103.163.166.55</t>
  </si>
  <si>
    <t>122.176.20.178</t>
  </si>
  <si>
    <t>103.66.74.208</t>
  </si>
  <si>
    <t>Mohammad Akram</t>
  </si>
  <si>
    <t>103.153.226.212</t>
  </si>
  <si>
    <t xml:space="preserve">103.89.58.179:8000 </t>
  </si>
  <si>
    <t>103.61.75.194:81</t>
  </si>
  <si>
    <t>a@123456</t>
  </si>
  <si>
    <t>Abhishek Nishad</t>
  </si>
  <si>
    <t>Sparsh</t>
  </si>
  <si>
    <t>103.221.79.249</t>
  </si>
  <si>
    <t>103.108.6.35</t>
  </si>
  <si>
    <t>103.174.108.18:62</t>
  </si>
  <si>
    <t>117.247.168.201</t>
  </si>
  <si>
    <t>45.122.122.119</t>
  </si>
  <si>
    <t>ABDUL NASEEM ANSARI</t>
  </si>
  <si>
    <t>dahua</t>
  </si>
  <si>
    <t>103.104.180.204:8888</t>
  </si>
  <si>
    <t>remoteuser</t>
  </si>
  <si>
    <t>Nreg@123</t>
  </si>
  <si>
    <t>103.199.215.35:85</t>
  </si>
  <si>
    <t>hemant</t>
  </si>
  <si>
    <t>Saaii@123</t>
  </si>
  <si>
    <t>103.110.49.113</t>
  </si>
  <si>
    <t>Satya</t>
  </si>
  <si>
    <t>Satya0247</t>
  </si>
  <si>
    <t>http://103.199.215.223:82/</t>
  </si>
  <si>
    <t>signa1234</t>
  </si>
  <si>
    <t>Vicky</t>
  </si>
  <si>
    <t>103.117.172.194</t>
  </si>
  <si>
    <t>panacea</t>
  </si>
  <si>
    <t>panacea@890</t>
  </si>
  <si>
    <t>45.116.68.48</t>
  </si>
  <si>
    <t>asd@12345</t>
  </si>
  <si>
    <t>NAVEEN</t>
  </si>
  <si>
    <t>103.78.12.27:8080</t>
  </si>
  <si>
    <t>MANAS</t>
  </si>
  <si>
    <t>117.247.171.6</t>
  </si>
  <si>
    <t>117.247.171.60:81/</t>
  </si>
  <si>
    <t>CP  Plus Nvr</t>
  </si>
  <si>
    <t>ONEBEAT</t>
  </si>
  <si>
    <t>Rajesh Kumar Srivastava</t>
  </si>
  <si>
    <t>122.176.42.225</t>
  </si>
  <si>
    <t>103.78.201.139</t>
  </si>
  <si>
    <t>ANUJ SINGH</t>
  </si>
  <si>
    <t>14/10/2022</t>
  </si>
  <si>
    <t>MANISH</t>
  </si>
  <si>
    <t>122.176.43.164</t>
  </si>
  <si>
    <t>hik@9009</t>
  </si>
  <si>
    <t>19/10/2022</t>
  </si>
  <si>
    <t>59.99.157.56</t>
  </si>
  <si>
    <t>IRPHAN</t>
  </si>
  <si>
    <t>Hi-Focus</t>
  </si>
  <si>
    <t>103.172.9.5</t>
  </si>
  <si>
    <t>NOT CONFIGURE</t>
  </si>
  <si>
    <t>103.210.46.158</t>
  </si>
  <si>
    <t>136.232.12.194:8008</t>
  </si>
  <si>
    <t>Ashfaque Khan</t>
  </si>
  <si>
    <t>Vivek Tripathi/ Dr H S Kholia</t>
  </si>
  <si>
    <t>9450940072/ 9559620276</t>
  </si>
  <si>
    <t>124.123.78.101</t>
  </si>
  <si>
    <t>Jkehlko60</t>
  </si>
  <si>
    <t>reset@123</t>
  </si>
  <si>
    <t>27.0.183.139</t>
  </si>
  <si>
    <t>NAVED</t>
  </si>
  <si>
    <t>14.139.237.172</t>
  </si>
  <si>
    <t>45.122.122.120</t>
  </si>
  <si>
    <t>Sunil</t>
  </si>
  <si>
    <t>122.176.46.88</t>
  </si>
  <si>
    <t>103.110.36.190</t>
  </si>
  <si>
    <t>mbcon@1421</t>
  </si>
  <si>
    <t>150.129.51.58:81</t>
  </si>
  <si>
    <t>admin2</t>
  </si>
  <si>
    <t>Not possible because of broadband issue; Only local IP provided</t>
  </si>
  <si>
    <t>DR PANKAJ</t>
  </si>
  <si>
    <t>103.97.211.37</t>
  </si>
  <si>
    <t>GOPAL SHUKLA</t>
  </si>
  <si>
    <t>115.113.91.228:8080</t>
  </si>
  <si>
    <t>cctv@0008</t>
  </si>
  <si>
    <t>Sanjeev Shukla</t>
  </si>
  <si>
    <t>144.48.170.185:81</t>
  </si>
  <si>
    <t>$amarpan@0646</t>
  </si>
  <si>
    <t>122.176.36.118</t>
  </si>
  <si>
    <t>hIK@9009</t>
  </si>
  <si>
    <t>103.163.200.80</t>
  </si>
  <si>
    <t>shail.lko</t>
  </si>
  <si>
    <t>shail@123</t>
  </si>
  <si>
    <t>103.221.80.157:81</t>
  </si>
  <si>
    <t>122.176.42.92</t>
  </si>
  <si>
    <t>122.176.39.182</t>
  </si>
  <si>
    <t>CP PLUS (HI-FOCUS)</t>
  </si>
  <si>
    <t>103.92.162.145</t>
  </si>
  <si>
    <t>Net Surveillance</t>
  </si>
  <si>
    <t>103.47.172.17</t>
  </si>
  <si>
    <t>115.246.114.130</t>
  </si>
  <si>
    <t>103.113.106.198</t>
  </si>
  <si>
    <t>rkms@123</t>
  </si>
  <si>
    <t>103.47.75.12</t>
  </si>
  <si>
    <t>103.121.205.147</t>
  </si>
  <si>
    <t>sonfhmau</t>
  </si>
  <si>
    <t>Fatima#321</t>
  </si>
  <si>
    <t>Mr. JIJIL B.</t>
  </si>
  <si>
    <t>103.160.72.41</t>
  </si>
  <si>
    <t>AMIR</t>
  </si>
  <si>
    <t>59.98.148.85</t>
  </si>
  <si>
    <t>Sachin Chaudhary</t>
  </si>
  <si>
    <t>103.211.191.7</t>
  </si>
  <si>
    <t>14.102.118.17</t>
  </si>
  <si>
    <t>103.211.191.213:81</t>
  </si>
  <si>
    <t>14.102.118.17:81</t>
  </si>
  <si>
    <t>123@admin</t>
  </si>
  <si>
    <t>Mr. Devendra kumar &amp; Mr. Shahnawaz</t>
  </si>
  <si>
    <t>Mr. Sachin Kumar</t>
  </si>
  <si>
    <t>182.74.167.47</t>
  </si>
  <si>
    <t>45.64.9.6</t>
  </si>
  <si>
    <t>MOHD SHUAIB</t>
  </si>
  <si>
    <t>59.98.148.90</t>
  </si>
  <si>
    <t>anwar123</t>
  </si>
  <si>
    <t>115.243.175.141</t>
  </si>
  <si>
    <t>CERT</t>
  </si>
  <si>
    <t>Cert@8877</t>
  </si>
  <si>
    <r>
      <rPr>
        <rFont val="Calibri"/>
        <color rgb="FF000000"/>
        <sz val="12.0"/>
      </rPr>
      <t>V</t>
    </r>
    <r>
      <rPr>
        <rFont val="Calibri"/>
        <color rgb="FF000000"/>
        <sz val="12.0"/>
      </rPr>
      <t>ERIFIED</t>
    </r>
  </si>
  <si>
    <t>103.148.230.52</t>
  </si>
  <si>
    <t>Salman</t>
  </si>
  <si>
    <t>103.160.206.172</t>
  </si>
  <si>
    <t>MUKUL SAXENA</t>
  </si>
  <si>
    <t>117.211.9.25</t>
  </si>
  <si>
    <t>103.160.206.168</t>
  </si>
  <si>
    <t>103.160.207.38:82</t>
  </si>
  <si>
    <t>http://14.139.238.133:86</t>
  </si>
  <si>
    <t>TMCON</t>
  </si>
  <si>
    <t>TMCON@123</t>
  </si>
  <si>
    <t>14.139.238.132:89</t>
  </si>
  <si>
    <t>TPSON</t>
  </si>
  <si>
    <t>TPSON@123</t>
  </si>
  <si>
    <t>Mr. Reuben B Lal</t>
  </si>
  <si>
    <t>45.115.168.86</t>
  </si>
  <si>
    <t>Vinod Saraswat</t>
  </si>
  <si>
    <t>103.211.59.4</t>
  </si>
  <si>
    <t>abcd@123</t>
  </si>
  <si>
    <t>103.103.160.120</t>
  </si>
  <si>
    <t>103.94.115.54</t>
  </si>
  <si>
    <t>103.94.115.46</t>
  </si>
  <si>
    <t>faizan123</t>
  </si>
  <si>
    <t>103.132.59.19</t>
  </si>
  <si>
    <t>103.89.56.221</t>
  </si>
  <si>
    <t>ANUP</t>
  </si>
  <si>
    <t>150.107.195.62</t>
  </si>
  <si>
    <t>snc@1957</t>
  </si>
  <si>
    <t>103.46.236.6</t>
  </si>
  <si>
    <t>103.78.13.82:82</t>
  </si>
  <si>
    <t>dsa@1234</t>
  </si>
  <si>
    <t>103.61.75.185</t>
  </si>
  <si>
    <t>103.78.12.111</t>
  </si>
  <si>
    <t>DHEERAJ KUMAR SINGH</t>
  </si>
  <si>
    <t>13/10/22</t>
  </si>
  <si>
    <t>103.78.12.71</t>
  </si>
  <si>
    <t>103.89.57.168</t>
  </si>
  <si>
    <t>103.171.25.163</t>
  </si>
  <si>
    <t>103.78.13.83:81</t>
  </si>
  <si>
    <t>103.221.76.2</t>
  </si>
  <si>
    <t>VICTORIA DEVI</t>
  </si>
  <si>
    <t>103.147.250.71:90</t>
  </si>
  <si>
    <t>@123456s</t>
  </si>
  <si>
    <t>103.78.15.29:82</t>
  </si>
  <si>
    <t>Admin@2022</t>
  </si>
  <si>
    <t>103.78.12.179:81</t>
  </si>
  <si>
    <t>122.176.43.130</t>
  </si>
  <si>
    <t>117.220.8.196</t>
  </si>
  <si>
    <t>tamanna@0068</t>
  </si>
  <si>
    <t>45.114.152.189</t>
  </si>
  <si>
    <t>Bhaskar/Amit Mourya</t>
  </si>
  <si>
    <t>7897404097/9711732999</t>
  </si>
  <si>
    <t>103.158.216.24</t>
  </si>
  <si>
    <t>RAM SINGH RHTRE</t>
  </si>
  <si>
    <t>Spywell</t>
  </si>
  <si>
    <t>103.49.232.196</t>
  </si>
  <si>
    <t>111111ai</t>
  </si>
  <si>
    <t>NARENDRA</t>
  </si>
  <si>
    <t>122.187.237.185</t>
  </si>
  <si>
    <t>103.117.172.195</t>
  </si>
  <si>
    <t>iiht0226</t>
  </si>
  <si>
    <t>Gotam kumar</t>
  </si>
  <si>
    <t>103.122.85.3:81</t>
  </si>
  <si>
    <t>AKHILESH</t>
  </si>
  <si>
    <t>\</t>
  </si>
  <si>
    <t>59.99.157.61:81</t>
  </si>
  <si>
    <t>akshya kumar</t>
  </si>
  <si>
    <t>103.204.170.156:37777</t>
  </si>
  <si>
    <t>103.70.145.206</t>
  </si>
  <si>
    <t>14.102.43.199</t>
  </si>
  <si>
    <t>Mr Deepak Pachauri</t>
  </si>
  <si>
    <t>dhua</t>
  </si>
  <si>
    <t>59.99.157.21</t>
  </si>
  <si>
    <t>techno@123</t>
  </si>
  <si>
    <t>AMIT KUMAR</t>
  </si>
  <si>
    <t>103.70.40.221</t>
  </si>
  <si>
    <t>103.99.186.204:81</t>
  </si>
  <si>
    <t>59.99.156.149</t>
  </si>
  <si>
    <t>59.99.156.148</t>
  </si>
  <si>
    <t>59.99.157.41:81</t>
  </si>
  <si>
    <t>Sitapur@5862</t>
  </si>
  <si>
    <t>124.123.78.104</t>
  </si>
  <si>
    <t>admin@321</t>
  </si>
  <si>
    <t>103.120.130.14</t>
  </si>
  <si>
    <t>http://27.56.177.120:8081/</t>
  </si>
  <si>
    <t>114.69.235.187</t>
  </si>
  <si>
    <t>rbj231216</t>
  </si>
  <si>
    <t>http://59.99.158.68:81/</t>
  </si>
  <si>
    <t>Ajeet Kumar Sharma</t>
  </si>
  <si>
    <t>103.61.75.98</t>
  </si>
  <si>
    <t>103.221.80.109</t>
  </si>
  <si>
    <t>115.187.44.104</t>
  </si>
  <si>
    <t>103.215.203.141</t>
  </si>
  <si>
    <t>DVNM1150</t>
  </si>
  <si>
    <t>DVNM11501150</t>
  </si>
  <si>
    <t>VIKESH SINGH</t>
  </si>
  <si>
    <t>117.247.236.227</t>
  </si>
  <si>
    <t>heritagevns@</t>
  </si>
  <si>
    <t>117.247.233.201</t>
  </si>
  <si>
    <t>ASHUTOSH MISHRA</t>
  </si>
  <si>
    <t>110.172.155.118</t>
  </si>
  <si>
    <t>abcd1234</t>
  </si>
  <si>
    <t xml:space="preserve"> 1.22.197.92</t>
  </si>
  <si>
    <t>103.214.190.234</t>
  </si>
  <si>
    <t>Ajay Kumar Patel</t>
  </si>
  <si>
    <t>Mr Sonu Kumar Gupta</t>
  </si>
  <si>
    <t>http://103.163.66.38:8080/</t>
  </si>
  <si>
    <t>117.247.236.235</t>
  </si>
  <si>
    <t>http://103.240.163.242/</t>
  </si>
  <si>
    <t>mintage@1994</t>
  </si>
  <si>
    <t>PRADEEP</t>
  </si>
  <si>
    <t>29/10/22</t>
  </si>
  <si>
    <t>SRI SATYA COLLEGE OF MEDICAL SCIENCES</t>
  </si>
  <si>
    <t>VINOD KUMAR</t>
  </si>
  <si>
    <t>103.160.206.168:80</t>
  </si>
  <si>
    <t>Date:</t>
  </si>
  <si>
    <t>Tr. Center Name</t>
  </si>
  <si>
    <t>Parent Tr. Center Name</t>
  </si>
  <si>
    <t>Degree</t>
  </si>
  <si>
    <t>Join</t>
  </si>
  <si>
    <t>Intake Capacity</t>
  </si>
  <si>
    <t>Applied Year</t>
  </si>
  <si>
    <t>Principal</t>
  </si>
  <si>
    <t>Principal_Mobile</t>
  </si>
  <si>
    <t>ChairPersonName</t>
  </si>
  <si>
    <t>ChairPersonMobile</t>
  </si>
  <si>
    <t>EmailId</t>
  </si>
  <si>
    <t>Reached (Y/N)</t>
  </si>
  <si>
    <t>Responded (Y/N)</t>
  </si>
  <si>
    <t>Status, if responded (Pending/Approved/Declined)</t>
  </si>
  <si>
    <t>CCTV Verified Training Center Details</t>
  </si>
  <si>
    <t>Sr. No.</t>
  </si>
  <si>
    <t>Code</t>
  </si>
  <si>
    <t>TrCenterName</t>
  </si>
  <si>
    <t>Nos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</si>
</sst>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m/d/yy"/>
    <numFmt numFmtId="166" formatCode="mm/dd/yy"/>
  </numFmts>
  <fonts count="55">
    <font>
      <sz val="10.0"/>
      <color rgb="FF000000"/>
      <name val="Arial"/>
      <scheme val="minor"/>
    </font>
    <font>
      <b/>
      <sz val="12.0"/>
      <color theme="1"/>
      <name val="Calibri"/>
    </font>
    <font>
      <color theme="1"/>
      <name val="Arial"/>
      <scheme val="minor"/>
    </font>
    <font>
      <b/>
      <sz val="12.0"/>
      <color rgb="FFFFFFFF"/>
      <name val="Calibri"/>
    </font>
    <font/>
    <font>
      <b/>
      <sz val="14.0"/>
      <color rgb="FF073763"/>
      <name val="Calibri"/>
    </font>
    <font>
      <b/>
      <sz val="12.0"/>
      <color rgb="FF073763"/>
      <name val="Calibri"/>
    </font>
    <font>
      <b/>
      <color theme="1"/>
      <name val="Arial"/>
      <scheme val="minor"/>
    </font>
    <font>
      <b/>
      <color rgb="FFFFFFFF"/>
      <name val="Arial"/>
      <scheme val="minor"/>
    </font>
    <font>
      <sz val="12.0"/>
      <color theme="1"/>
      <name val="Calibri"/>
    </font>
    <font>
      <color theme="1"/>
      <name val="Arial"/>
    </font>
    <font>
      <color theme="1"/>
      <name val="&quot;Segoe UI&quot;"/>
    </font>
    <font>
      <color rgb="FF000000"/>
      <name val="Arial"/>
    </font>
    <font>
      <sz val="11.0"/>
      <color rgb="FF000000"/>
      <name val="Calibri"/>
    </font>
    <font>
      <u/>
      <color rgb="FF0000FF"/>
    </font>
    <font>
      <u/>
      <color rgb="FF0000FF"/>
    </font>
    <font>
      <color rgb="FF000000"/>
      <name val="Arial"/>
      <scheme val="minor"/>
    </font>
    <font>
      <u/>
      <color rgb="FF0000FF"/>
    </font>
    <font>
      <sz val="9.0"/>
      <color rgb="FF202124"/>
      <name val="Inherit"/>
    </font>
    <font>
      <sz val="12.0"/>
      <color rgb="FF202124"/>
      <name val="Arial"/>
    </font>
    <font>
      <u/>
      <color rgb="FF0000FF"/>
    </font>
    <font>
      <u/>
      <sz val="12.0"/>
      <color theme="1"/>
      <name val="Calibri"/>
    </font>
    <font>
      <color theme="1"/>
      <name val="Calibri"/>
    </font>
    <font>
      <b/>
      <sz val="24.0"/>
      <color theme="1"/>
      <name val="Calibri"/>
    </font>
    <font>
      <b/>
      <color rgb="FFFFFFFF"/>
      <name val="Calibri"/>
    </font>
    <font>
      <sz val="11.0"/>
      <color rgb="FF3C4043"/>
      <name val="Inconsolata"/>
    </font>
    <font>
      <b/>
      <sz val="11.0"/>
      <color rgb="FFFFFFFF"/>
      <name val="Calibri"/>
    </font>
    <font>
      <sz val="11.0"/>
      <color rgb="FF3C4043"/>
      <name val="Calibri"/>
    </font>
    <font>
      <sz val="11.0"/>
      <color theme="1"/>
      <name val="Calibri"/>
    </font>
    <font>
      <color rgb="FFFFFFFF"/>
      <name val="Calibri"/>
    </font>
    <font>
      <sz val="10.0"/>
      <color theme="1"/>
      <name val="Arial"/>
      <scheme val="minor"/>
    </font>
    <font>
      <i/>
      <sz val="12.0"/>
      <color theme="1"/>
      <name val="Calibri"/>
    </font>
    <font>
      <sz val="12.0"/>
      <color rgb="FF000000"/>
      <name val="Calibri"/>
    </font>
    <font>
      <sz val="12.0"/>
      <color rgb="FFFF0000"/>
      <name val="Calibri"/>
    </font>
    <font>
      <strike/>
      <sz val="12.0"/>
      <color theme="1"/>
      <name val="Calibri"/>
    </font>
    <font>
      <u/>
      <sz val="12.0"/>
      <color theme="1"/>
      <name val="Calibri"/>
    </font>
    <font>
      <sz val="12.0"/>
      <color rgb="FF0000FF"/>
      <name val="Calibri"/>
    </font>
    <font>
      <u/>
      <sz val="12.0"/>
      <color rgb="FF0000FF"/>
      <name val="Calibri"/>
    </font>
    <font>
      <sz val="12.0"/>
      <color rgb="FF202124"/>
      <name val="Calibri"/>
    </font>
    <font>
      <sz val="10.0"/>
      <color rgb="FFFF0000"/>
      <name val="Calibri"/>
    </font>
    <font>
      <sz val="12.0"/>
      <color rgb="FF000000"/>
      <name val="Docs-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color rgb="FF0000FF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u/>
      <sz val="12.0"/>
      <color rgb="FF0000FF"/>
      <name val="Calibri"/>
    </font>
    <font>
      <b/>
      <sz val="11.0"/>
      <color theme="0"/>
      <name val="Calibri"/>
    </font>
    <font>
      <b/>
      <sz val="14.0"/>
      <color rgb="FF000000"/>
      <name val="Calibri"/>
    </font>
    <font>
      <b/>
      <sz val="11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D5A6BD"/>
        <bgColor rgb="FFD5A6B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0C343D"/>
        <bgColor rgb="FF0C343D"/>
      </patternFill>
    </fill>
    <fill>
      <patternFill patternType="solid">
        <fgColor rgb="FFD9D9D9"/>
        <bgColor rgb="FFD9D9D9"/>
      </patternFill>
    </fill>
  </fills>
  <borders count="5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right style="thin">
        <color rgb="FF000000"/>
      </right>
    </border>
    <border>
      <right style="thin">
        <color rgb="FFFFFFFF"/>
      </right>
    </border>
    <border>
      <top style="thin">
        <color rgb="FFCCCCCC"/>
      </top>
      <bottom style="thin">
        <color rgb="FFCCCCCC"/>
      </bottom>
    </border>
    <border>
      <right style="thin">
        <color rgb="FFFFFFFF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B7B7B7"/>
      </bottom>
    </border>
    <border>
      <bottom style="thin">
        <color rgb="FFB7B7B7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FFFFFF"/>
      </right>
      <bottom style="thin">
        <color rgb="FFFFFFFF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D9D9D9"/>
      </bottom>
    </border>
    <border>
      <left style="thin">
        <color rgb="FFB7B7B7"/>
      </left>
      <top style="thin">
        <color rgb="FFB7B7B7"/>
      </top>
      <bottom style="thin">
        <color rgb="FFD9D9D9"/>
      </bottom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FFFFFF"/>
      </left>
      <top style="thin">
        <color rgb="FFCCCCCC"/>
      </top>
      <bottom style="thin">
        <color rgb="FFFFFFFF"/>
      </bottom>
    </border>
    <border>
      <top style="thin">
        <color rgb="FFCCCCCC"/>
      </top>
    </border>
    <border>
      <right style="thin">
        <color rgb="FFFFFFFF"/>
      </right>
      <top style="thin">
        <color rgb="FFCCCCCC"/>
      </top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right style="thin">
        <color rgb="FFCCCCCC"/>
      </right>
      <bottom style="thin">
        <color rgb="FFB7B7B7"/>
      </bottom>
    </border>
    <border>
      <left style="thin">
        <color rgb="FFFFFFFF"/>
      </left>
      <bottom style="thin">
        <color rgb="FFFFFFFF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B7B7B7"/>
      </top>
      <bottom style="thin">
        <color rgb="FFB7B7B7"/>
      </bottom>
    </border>
    <border>
      <bottom style="thin">
        <color rgb="FFFFFFFF"/>
      </bottom>
    </border>
    <border>
      <left style="thin">
        <color rgb="FF000000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000000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000000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B7B7B7"/>
      </bottom>
    </border>
    <border>
      <right style="thin">
        <color rgb="FF000000"/>
      </right>
      <top style="thin">
        <color rgb="FFB7B7B7"/>
      </top>
      <bottom style="thin">
        <color rgb="FFB7B7B7"/>
      </bottom>
    </border>
    <border>
      <left style="thin">
        <color rgb="FF000000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000000"/>
      </right>
      <top style="thin">
        <color rgb="FFB7B7B7"/>
      </top>
      <bottom style="thin">
        <color rgb="FF000000"/>
      </bottom>
    </border>
    <border>
      <left style="thin">
        <color rgb="FFB7B7B7"/>
      </left>
      <right style="thin">
        <color rgb="FFB7B7B7"/>
      </right>
      <bottom style="thin">
        <color rgb="FFB7B7B7"/>
      </bottom>
    </border>
    <border>
      <left style="thin">
        <color rgb="FFB7B7B7"/>
      </left>
      <bottom style="thin">
        <color rgb="FFB7B7B7"/>
      </bottom>
    </border>
  </borders>
  <cellStyleXfs count="1">
    <xf borderId="0" fillId="0" fontId="0" numFmtId="0" applyAlignment="1" applyFont="1"/>
  </cellStyleXfs>
  <cellXfs count="5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left" vertical="center"/>
    </xf>
    <xf borderId="1" fillId="2" fontId="2" numFmtId="0" xfId="0" applyAlignment="1" applyBorder="1" applyFont="1">
      <alignment horizontal="center" readingOrder="0" vertical="center"/>
    </xf>
    <xf borderId="1" fillId="2" fontId="2" numFmtId="49" xfId="0" applyAlignment="1" applyBorder="1" applyFont="1" applyNumberFormat="1">
      <alignment horizontal="center" readingOrder="0" vertical="center"/>
    </xf>
    <xf borderId="1" fillId="2" fontId="2" numFmtId="0" xfId="0" applyAlignment="1" applyBorder="1" applyFont="1">
      <alignment horizontal="center" readingOrder="0" shrinkToFit="0" vertical="center" wrapText="1"/>
    </xf>
    <xf borderId="2" fillId="3" fontId="3" numFmtId="0" xfId="0" applyAlignment="1" applyBorder="1" applyFill="1" applyFont="1">
      <alignment horizontal="left" readingOrder="0" vertical="center"/>
    </xf>
    <xf borderId="3" fillId="0" fontId="4" numFmtId="0" xfId="0" applyBorder="1" applyFont="1"/>
    <xf borderId="4" fillId="0" fontId="4" numFmtId="0" xfId="0" applyBorder="1" applyFont="1"/>
    <xf borderId="5" fillId="2" fontId="1" numFmtId="0" xfId="0" applyAlignment="1" applyBorder="1" applyFont="1">
      <alignment horizontal="center" vertical="center"/>
    </xf>
    <xf borderId="5" fillId="2" fontId="5" numFmtId="0" xfId="0" applyAlignment="1" applyBorder="1" applyFont="1">
      <alignment horizontal="left" readingOrder="0" vertical="center"/>
    </xf>
    <xf borderId="5" fillId="2" fontId="1" numFmtId="0" xfId="0" applyAlignment="1" applyBorder="1" applyFont="1">
      <alignment horizontal="left" vertical="center"/>
    </xf>
    <xf borderId="0" fillId="3" fontId="3" numFmtId="0" xfId="0" applyAlignment="1" applyFont="1">
      <alignment horizontal="center" readingOrder="0" vertical="center"/>
    </xf>
    <xf borderId="4" fillId="2" fontId="2" numFmtId="0" xfId="0" applyAlignment="1" applyBorder="1" applyFont="1">
      <alignment horizontal="center" readingOrder="0" vertical="center"/>
    </xf>
    <xf borderId="4" fillId="2" fontId="2" numFmtId="49" xfId="0" applyAlignment="1" applyBorder="1" applyFont="1" applyNumberFormat="1">
      <alignment horizontal="center" readingOrder="0" vertical="center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vertical="center"/>
    </xf>
    <xf borderId="0" fillId="2" fontId="1" numFmtId="0" xfId="0" applyAlignment="1" applyFont="1">
      <alignment horizontal="center" readingOrder="0" vertical="center"/>
    </xf>
    <xf borderId="0" fillId="2" fontId="6" numFmtId="0" xfId="0" applyAlignment="1" applyFont="1">
      <alignment horizontal="center" readingOrder="0" vertical="center"/>
    </xf>
    <xf borderId="5" fillId="2" fontId="7" numFmtId="0" xfId="0" applyAlignment="1" applyBorder="1" applyFont="1">
      <alignment horizontal="center" readingOrder="0" vertical="center"/>
    </xf>
    <xf borderId="6" fillId="2" fontId="1" numFmtId="0" xfId="0" applyAlignment="1" applyBorder="1" applyFont="1">
      <alignment horizontal="center" readingOrder="0" vertical="center"/>
    </xf>
    <xf borderId="6" fillId="2" fontId="6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left" vertical="center"/>
    </xf>
    <xf borderId="5" fillId="2" fontId="2" numFmtId="49" xfId="0" applyAlignment="1" applyBorder="1" applyFont="1" applyNumberFormat="1">
      <alignment horizontal="center" readingOrder="0" vertical="center"/>
    </xf>
    <xf borderId="5" fillId="2" fontId="2" numFmtId="0" xfId="0" applyAlignment="1" applyBorder="1" applyFont="1">
      <alignment horizontal="center" readingOrder="0" vertical="center"/>
    </xf>
    <xf borderId="5" fillId="2" fontId="2" numFmtId="0" xfId="0" applyAlignment="1" applyBorder="1" applyFont="1">
      <alignment horizontal="center" readingOrder="0" shrinkToFit="0" vertical="center" wrapText="1"/>
    </xf>
    <xf borderId="5" fillId="3" fontId="3" numFmtId="0" xfId="0" applyAlignment="1" applyBorder="1" applyFont="1">
      <alignment horizontal="center" readingOrder="0" vertical="center"/>
    </xf>
    <xf borderId="7" fillId="3" fontId="3" numFmtId="0" xfId="0" applyAlignment="1" applyBorder="1" applyFont="1">
      <alignment horizontal="center" readingOrder="0" vertical="center"/>
    </xf>
    <xf borderId="7" fillId="3" fontId="8" numFmtId="0" xfId="0" applyAlignment="1" applyBorder="1" applyFont="1">
      <alignment horizontal="center" readingOrder="0" vertical="center"/>
    </xf>
    <xf borderId="0" fillId="3" fontId="8" numFmtId="49" xfId="0" applyAlignment="1" applyFont="1" applyNumberFormat="1">
      <alignment horizontal="center" readingOrder="0" vertical="center"/>
    </xf>
    <xf borderId="0" fillId="3" fontId="8" numFmtId="0" xfId="0" applyAlignment="1" applyFont="1">
      <alignment horizontal="center" readingOrder="0" vertical="center"/>
    </xf>
    <xf borderId="0" fillId="3" fontId="8" numFmtId="0" xfId="0" applyAlignment="1" applyFont="1">
      <alignment horizontal="center" readingOrder="0" shrinkToFit="0" vertical="center" wrapText="1"/>
    </xf>
    <xf borderId="8" fillId="3" fontId="8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center" readingOrder="0" vertical="bottom"/>
    </xf>
    <xf borderId="0" fillId="0" fontId="9" numFmtId="0" xfId="0" applyAlignment="1" applyFont="1">
      <alignment horizontal="left" readingOrder="0" vertical="bottom"/>
    </xf>
    <xf borderId="0" fillId="0" fontId="2" numFmtId="0" xfId="0" applyAlignment="1" applyFont="1">
      <alignment horizontal="center" readingOrder="0"/>
    </xf>
    <xf borderId="0" fillId="0" fontId="2" numFmtId="49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8" fillId="0" fontId="2" numFmtId="0" xfId="0" applyAlignment="1" applyBorder="1" applyFont="1">
      <alignment horizontal="center" readingOrder="0" shrinkToFit="0" wrapText="1"/>
    </xf>
    <xf borderId="0" fillId="4" fontId="10" numFmtId="0" xfId="0" applyAlignment="1" applyFill="1" applyFont="1">
      <alignment horizontal="center" readingOrder="0" shrinkToFit="0" wrapText="1"/>
    </xf>
    <xf borderId="0" fillId="4" fontId="11" numFmtId="0" xfId="0" applyAlignment="1" applyFont="1">
      <alignment horizontal="center" readingOrder="0" shrinkToFit="0" wrapText="1"/>
    </xf>
    <xf borderId="0" fillId="2" fontId="2" numFmtId="0" xfId="0" applyAlignment="1" applyFont="1">
      <alignment horizontal="center" readingOrder="0" shrinkToFit="0" wrapText="1"/>
    </xf>
    <xf borderId="8" fillId="2" fontId="2" numFmtId="0" xfId="0" applyAlignment="1" applyBorder="1" applyFont="1">
      <alignment horizontal="center" readingOrder="0" shrinkToFit="0" wrapText="1"/>
    </xf>
    <xf borderId="0" fillId="0" fontId="2" numFmtId="49" xfId="0" applyAlignment="1" applyFont="1" applyNumberFormat="1">
      <alignment horizont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49" xfId="0" applyAlignment="1" applyFont="1" applyNumberFormat="1">
      <alignment horizontal="center" readingOrder="0" vertical="center"/>
    </xf>
    <xf borderId="0" fillId="0" fontId="2" numFmtId="0" xfId="0" applyAlignment="1" applyFont="1">
      <alignment horizontal="center" readingOrder="0" shrinkToFit="0" vertical="center" wrapText="1"/>
    </xf>
    <xf borderId="8" fillId="0" fontId="2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/>
    </xf>
    <xf borderId="0" fillId="2" fontId="9" numFmtId="0" xfId="0" applyAlignment="1" applyFont="1">
      <alignment horizontal="left" readingOrder="0" vertical="bottom"/>
    </xf>
    <xf borderId="0" fillId="2" fontId="9" numFmtId="0" xfId="0" applyAlignment="1" applyFont="1">
      <alignment horizontal="center" readingOrder="0" vertical="bottom"/>
    </xf>
    <xf borderId="0" fillId="2" fontId="2" numFmtId="0" xfId="0" applyAlignment="1" applyFont="1">
      <alignment horizontal="center" readingOrder="0"/>
    </xf>
    <xf borderId="0" fillId="2" fontId="9" numFmtId="0" xfId="0" applyAlignment="1" applyFont="1">
      <alignment horizontal="center" readingOrder="0" vertical="center"/>
    </xf>
    <xf borderId="0" fillId="2" fontId="9" numFmtId="0" xfId="0" applyAlignment="1" applyFont="1">
      <alignment horizontal="left" readingOrder="0" vertical="center"/>
    </xf>
    <xf borderId="0" fillId="2" fontId="2" numFmtId="0" xfId="0" applyAlignment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4" fontId="12" numFmtId="0" xfId="0" applyAlignment="1" applyFont="1">
      <alignment horizontal="center" readingOrder="0"/>
    </xf>
    <xf borderId="0" fillId="2" fontId="2" numFmtId="0" xfId="0" applyAlignment="1" applyFont="1">
      <alignment horizontal="center" readingOrder="0" shrinkToFit="0" vertical="center" wrapText="1"/>
    </xf>
    <xf borderId="8" fillId="2" fontId="2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horizontal="center" vertical="bottom"/>
    </xf>
    <xf borderId="0" fillId="0" fontId="13" numFmtId="0" xfId="0" applyAlignment="1" applyFont="1">
      <alignment horizontal="center" readingOrder="0" shrinkToFit="0" vertical="bottom" wrapText="1"/>
    </xf>
    <xf borderId="0" fillId="0" fontId="10" numFmtId="0" xfId="0" applyAlignment="1" applyFont="1">
      <alignment vertical="bottom"/>
    </xf>
    <xf borderId="0" fillId="0" fontId="10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/>
    </xf>
    <xf borderId="0" fillId="0" fontId="14" numFmtId="0" xfId="0" applyAlignment="1" applyFont="1">
      <alignment horizontal="center" readingOrder="0" vertical="center"/>
    </xf>
    <xf borderId="0" fillId="2" fontId="15" numFmtId="0" xfId="0" applyAlignment="1" applyFont="1">
      <alignment horizontal="center" readingOrder="0" shrinkToFit="0" wrapText="1"/>
    </xf>
    <xf borderId="0" fillId="0" fontId="9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 shrinkToFit="0" wrapText="1"/>
    </xf>
    <xf borderId="0" fillId="0" fontId="13" numFmtId="0" xfId="0" applyAlignment="1" applyFont="1">
      <alignment horizontal="center" readingOrder="0" shrinkToFit="0" vertical="center" wrapText="1"/>
    </xf>
    <xf borderId="0" fillId="2" fontId="16" numFmtId="0" xfId="0" applyAlignment="1" applyFont="1">
      <alignment horizontal="center" readingOrder="0" shrinkToFit="0" vertical="center" wrapText="1"/>
    </xf>
    <xf borderId="0" fillId="4" fontId="10" numFmtId="0" xfId="0" applyAlignment="1" applyFont="1">
      <alignment horizontal="center" vertical="bottom"/>
    </xf>
    <xf borderId="0" fillId="2" fontId="2" numFmtId="0" xfId="0" applyAlignment="1" applyFont="1">
      <alignment horizontal="center" readingOrder="0" shrinkToFit="0" wrapText="1"/>
    </xf>
    <xf borderId="0" fillId="0" fontId="17" numFmtId="0" xfId="0" applyAlignment="1" applyFont="1">
      <alignment readingOrder="0"/>
    </xf>
    <xf borderId="0" fillId="0" fontId="18" numFmtId="0" xfId="0" applyAlignment="1" applyFont="1">
      <alignment horizontal="center" readingOrder="0" shrinkToFit="0" wrapText="1"/>
    </xf>
    <xf borderId="0" fillId="4" fontId="19" numFmtId="0" xfId="0" applyAlignment="1" applyFont="1">
      <alignment horizontal="center" readingOrder="0" shrinkToFit="0" wrapText="1"/>
    </xf>
    <xf borderId="0" fillId="0" fontId="20" numFmtId="0" xfId="0" applyAlignment="1" applyFont="1">
      <alignment horizontal="center" readingOrder="0" shrinkToFit="0" wrapText="1"/>
    </xf>
    <xf borderId="8" fillId="5" fontId="2" numFmtId="0" xfId="0" applyAlignment="1" applyBorder="1" applyFill="1" applyFont="1">
      <alignment horizontal="center" readingOrder="0" shrinkToFit="0" vertical="center" wrapText="1"/>
    </xf>
    <xf borderId="8" fillId="5" fontId="2" numFmtId="0" xfId="0" applyAlignment="1" applyBorder="1" applyFont="1">
      <alignment horizontal="center" readingOrder="0" shrinkToFit="0" wrapText="1"/>
    </xf>
    <xf borderId="0" fillId="2" fontId="2" numFmtId="49" xfId="0" applyAlignment="1" applyFont="1" applyNumberFormat="1">
      <alignment horizontal="center" readingOrder="0"/>
    </xf>
    <xf borderId="0" fillId="0" fontId="10" numFmtId="0" xfId="0" applyAlignment="1" applyFont="1">
      <alignment horizontal="center" vertical="bottom"/>
    </xf>
    <xf borderId="0" fillId="2" fontId="2" numFmtId="49" xfId="0" applyAlignment="1" applyFont="1" applyNumberFormat="1">
      <alignment horizontal="center" readingOrder="0" vertical="center"/>
    </xf>
    <xf borderId="8" fillId="4" fontId="2" numFmtId="0" xfId="0" applyAlignment="1" applyBorder="1" applyFont="1">
      <alignment horizontal="center" readingOrder="0" shrinkToFit="0" vertical="center" wrapText="1"/>
    </xf>
    <xf borderId="8" fillId="4" fontId="2" numFmtId="0" xfId="0" applyAlignment="1" applyBorder="1" applyFont="1">
      <alignment horizontal="center" readingOrder="0" shrinkToFit="0" wrapText="1"/>
    </xf>
    <xf borderId="0" fillId="0" fontId="16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0" numFmtId="0" xfId="0" applyAlignment="1" applyFont="1">
      <alignment horizontal="right" vertical="bottom"/>
    </xf>
    <xf borderId="0" fillId="2" fontId="21" numFmtId="0" xfId="0" applyAlignment="1" applyFont="1">
      <alignment horizontal="center" readingOrder="0"/>
    </xf>
    <xf borderId="0" fillId="4" fontId="10" numFmtId="0" xfId="0" applyAlignment="1" applyFont="1">
      <alignment horizontal="center" shrinkToFit="0" vertical="bottom" wrapText="1"/>
    </xf>
    <xf borderId="0" fillId="0" fontId="13" numFmtId="0" xfId="0" applyAlignment="1" applyFont="1">
      <alignment horizontal="center" readingOrder="0" shrinkToFit="0" vertical="bottom" wrapText="0"/>
    </xf>
    <xf borderId="0" fillId="0" fontId="16" numFmtId="0" xfId="0" applyAlignment="1" applyFont="1">
      <alignment horizontal="center" readingOrder="0"/>
    </xf>
    <xf borderId="0" fillId="4" fontId="10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center" readingOrder="0" vertical="center"/>
    </xf>
    <xf borderId="0" fillId="4" fontId="10" numFmtId="0" xfId="0" applyAlignment="1" applyFont="1">
      <alignment horizontal="center" readingOrder="0" shrinkToFit="0" vertical="center" wrapText="1"/>
    </xf>
    <xf borderId="1" fillId="4" fontId="22" numFmtId="0" xfId="0" applyAlignment="1" applyBorder="1" applyFont="1">
      <alignment readingOrder="0"/>
    </xf>
    <xf borderId="1" fillId="0" fontId="22" numFmtId="0" xfId="0" applyBorder="1" applyFont="1"/>
    <xf borderId="1" fillId="0" fontId="22" numFmtId="0" xfId="0" applyAlignment="1" applyBorder="1" applyFont="1">
      <alignment horizontal="center"/>
    </xf>
    <xf borderId="1" fillId="0" fontId="22" numFmtId="1" xfId="0" applyAlignment="1" applyBorder="1" applyFont="1" applyNumberFormat="1">
      <alignment horizontal="center"/>
    </xf>
    <xf borderId="1" fillId="4" fontId="22" numFmtId="0" xfId="0" applyBorder="1" applyFont="1"/>
    <xf borderId="5" fillId="0" fontId="23" numFmtId="0" xfId="0" applyAlignment="1" applyBorder="1" applyFont="1">
      <alignment readingOrder="0"/>
    </xf>
    <xf borderId="5" fillId="0" fontId="22" numFmtId="0" xfId="0" applyBorder="1" applyFont="1"/>
    <xf borderId="5" fillId="0" fontId="22" numFmtId="0" xfId="0" applyAlignment="1" applyBorder="1" applyFont="1">
      <alignment horizontal="center"/>
    </xf>
    <xf borderId="5" fillId="0" fontId="22" numFmtId="1" xfId="0" applyAlignment="1" applyBorder="1" applyFont="1" applyNumberFormat="1">
      <alignment horizontal="center"/>
    </xf>
    <xf borderId="5" fillId="4" fontId="22" numFmtId="0" xfId="0" applyBorder="1" applyFont="1"/>
    <xf borderId="5" fillId="4" fontId="22" numFmtId="0" xfId="0" applyAlignment="1" applyBorder="1" applyFont="1">
      <alignment horizontal="center"/>
    </xf>
    <xf borderId="0" fillId="3" fontId="24" numFmtId="0" xfId="0" applyAlignment="1" applyFont="1">
      <alignment horizontal="center" readingOrder="0" vertical="center"/>
    </xf>
    <xf borderId="9" fillId="0" fontId="4" numFmtId="0" xfId="0" applyBorder="1" applyFont="1"/>
    <xf borderId="10" fillId="3" fontId="24" numFmtId="0" xfId="0" applyAlignment="1" applyBorder="1" applyFont="1">
      <alignment horizontal="center" readingOrder="0" vertical="center"/>
    </xf>
    <xf borderId="10" fillId="0" fontId="4" numFmtId="0" xfId="0" applyBorder="1" applyFont="1"/>
    <xf borderId="11" fillId="0" fontId="4" numFmtId="0" xfId="0" applyBorder="1" applyFont="1"/>
    <xf borderId="2" fillId="4" fontId="24" numFmtId="0" xfId="0" applyAlignment="1" applyBorder="1" applyFont="1">
      <alignment horizontal="center" readingOrder="0" vertical="center"/>
    </xf>
    <xf borderId="12" fillId="3" fontId="24" numFmtId="0" xfId="0" applyAlignment="1" applyBorder="1" applyFont="1">
      <alignment horizontal="center" readingOrder="0" vertical="center"/>
    </xf>
    <xf borderId="12" fillId="3" fontId="24" numFmtId="1" xfId="0" applyAlignment="1" applyBorder="1" applyFont="1" applyNumberFormat="1">
      <alignment horizontal="center" readingOrder="0" vertical="center"/>
    </xf>
    <xf borderId="2" fillId="4" fontId="22" numFmtId="0" xfId="0" applyAlignment="1" applyBorder="1" applyFont="1">
      <alignment horizontal="center" vertical="center"/>
    </xf>
    <xf borderId="13" fillId="0" fontId="22" numFmtId="0" xfId="0" applyAlignment="1" applyBorder="1" applyFont="1">
      <alignment horizontal="center"/>
    </xf>
    <xf borderId="13" fillId="0" fontId="22" numFmtId="0" xfId="0" applyAlignment="1" applyBorder="1" applyFont="1">
      <alignment horizontal="center" vertical="center"/>
    </xf>
    <xf borderId="14" fillId="4" fontId="25" numFmtId="0" xfId="0" applyAlignment="1" applyBorder="1" applyFont="1">
      <alignment horizontal="center"/>
    </xf>
    <xf borderId="14" fillId="4" fontId="25" numFmtId="1" xfId="0" applyAlignment="1" applyBorder="1" applyFont="1" applyNumberFormat="1">
      <alignment horizontal="center"/>
    </xf>
    <xf borderId="6" fillId="0" fontId="22" numFmtId="0" xfId="0" applyAlignment="1" applyBorder="1" applyFont="1">
      <alignment horizontal="center" vertical="center"/>
    </xf>
    <xf borderId="6" fillId="0" fontId="22" numFmtId="0" xfId="0" applyAlignment="1" applyBorder="1" applyFont="1">
      <alignment horizontal="center"/>
    </xf>
    <xf borderId="6" fillId="0" fontId="22" numFmtId="0" xfId="0" applyBorder="1" applyFont="1"/>
    <xf borderId="6" fillId="0" fontId="22" numFmtId="1" xfId="0" applyAlignment="1" applyBorder="1" applyFont="1" applyNumberFormat="1">
      <alignment horizontal="center"/>
    </xf>
    <xf borderId="6" fillId="0" fontId="22" numFmtId="0" xfId="0" applyAlignment="1" applyBorder="1" applyFont="1">
      <alignment horizontal="center" readingOrder="0" vertical="center"/>
    </xf>
    <xf borderId="15" fillId="0" fontId="22" numFmtId="0" xfId="0" applyAlignment="1" applyBorder="1" applyFont="1">
      <alignment horizontal="center" readingOrder="0" vertical="center"/>
    </xf>
    <xf borderId="16" fillId="4" fontId="24" numFmtId="0" xfId="0" applyAlignment="1" applyBorder="1" applyFont="1">
      <alignment horizontal="center" readingOrder="0"/>
    </xf>
    <xf borderId="0" fillId="3" fontId="24" numFmtId="0" xfId="0" applyAlignment="1" applyFont="1">
      <alignment horizontal="center" readingOrder="0"/>
    </xf>
    <xf borderId="17" fillId="3" fontId="24" numFmtId="0" xfId="0" applyAlignment="1" applyBorder="1" applyFont="1">
      <alignment horizontal="center" readingOrder="0" vertical="center"/>
    </xf>
    <xf borderId="2" fillId="0" fontId="22" numFmtId="0" xfId="0" applyAlignment="1" applyBorder="1" applyFont="1">
      <alignment horizontal="center" readingOrder="0" vertical="center"/>
    </xf>
    <xf borderId="12" fillId="3" fontId="24" numFmtId="0" xfId="0" applyAlignment="1" applyBorder="1" applyFont="1">
      <alignment horizontal="center" readingOrder="0"/>
    </xf>
    <xf borderId="12" fillId="3" fontId="24" numFmtId="1" xfId="0" applyAlignment="1" applyBorder="1" applyFont="1" applyNumberFormat="1">
      <alignment horizontal="center" readingOrder="0"/>
    </xf>
    <xf borderId="12" fillId="3" fontId="24" numFmtId="0" xfId="0" applyAlignment="1" applyBorder="1" applyFont="1">
      <alignment horizontal="center" readingOrder="0"/>
    </xf>
    <xf borderId="7" fillId="0" fontId="22" numFmtId="0" xfId="0" applyAlignment="1" applyBorder="1" applyFont="1">
      <alignment horizontal="center" vertical="center"/>
    </xf>
    <xf borderId="12" fillId="0" fontId="22" numFmtId="3" xfId="0" applyAlignment="1" applyBorder="1" applyFont="1" applyNumberFormat="1">
      <alignment horizontal="center" readingOrder="0" vertical="center"/>
    </xf>
    <xf borderId="12" fillId="0" fontId="22" numFmtId="3" xfId="0" applyAlignment="1" applyBorder="1" applyFont="1" applyNumberFormat="1">
      <alignment horizontal="center" vertical="bottom"/>
    </xf>
    <xf borderId="12" fillId="0" fontId="22" numFmtId="3" xfId="0" applyAlignment="1" applyBorder="1" applyFont="1" applyNumberFormat="1">
      <alignment horizontal="center" readingOrder="0"/>
    </xf>
    <xf borderId="12" fillId="0" fontId="22" numFmtId="3" xfId="0" applyAlignment="1" applyBorder="1" applyFont="1" applyNumberFormat="1">
      <alignment horizontal="center" readingOrder="0" vertical="bottom"/>
    </xf>
    <xf borderId="5" fillId="4" fontId="24" numFmtId="0" xfId="0" applyAlignment="1" applyBorder="1" applyFont="1">
      <alignment horizontal="center" readingOrder="0" vertical="center"/>
    </xf>
    <xf borderId="15" fillId="4" fontId="24" numFmtId="0" xfId="0" applyAlignment="1" applyBorder="1" applyFont="1">
      <alignment horizontal="center" readingOrder="0" vertical="center"/>
    </xf>
    <xf borderId="15" fillId="4" fontId="24" numFmtId="0" xfId="0" applyAlignment="1" applyBorder="1" applyFont="1">
      <alignment horizontal="center" readingOrder="0"/>
    </xf>
    <xf borderId="0" fillId="4" fontId="24" numFmtId="0" xfId="0" applyAlignment="1" applyFont="1">
      <alignment horizontal="center" readingOrder="0"/>
    </xf>
    <xf borderId="6" fillId="0" fontId="22" numFmtId="3" xfId="0" applyAlignment="1" applyBorder="1" applyFont="1" applyNumberFormat="1">
      <alignment horizontal="center" vertical="bottom"/>
    </xf>
    <xf borderId="18" fillId="0" fontId="22" numFmtId="0" xfId="0" applyAlignment="1" applyBorder="1" applyFont="1">
      <alignment horizontal="center"/>
    </xf>
    <xf borderId="6" fillId="0" fontId="22" numFmtId="9" xfId="0" applyBorder="1" applyFont="1" applyNumberFormat="1"/>
    <xf borderId="4" fillId="0" fontId="22" numFmtId="0" xfId="0" applyBorder="1" applyFont="1"/>
    <xf borderId="1" fillId="0" fontId="22" numFmtId="164" xfId="0" applyAlignment="1" applyBorder="1" applyFont="1" applyNumberFormat="1">
      <alignment horizontal="center" readingOrder="0"/>
    </xf>
    <xf borderId="12" fillId="0" fontId="22" numFmtId="9" xfId="0" applyAlignment="1" applyBorder="1" applyFont="1" applyNumberFormat="1">
      <alignment horizontal="center"/>
    </xf>
    <xf borderId="1" fillId="4" fontId="22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readingOrder="0" vertical="center"/>
    </xf>
    <xf borderId="5" fillId="0" fontId="22" numFmtId="0" xfId="0" applyAlignment="1" applyBorder="1" applyFont="1">
      <alignment horizontal="center" vertical="center"/>
    </xf>
    <xf borderId="19" fillId="3" fontId="24" numFmtId="0" xfId="0" applyAlignment="1" applyBorder="1" applyFont="1">
      <alignment horizontal="center" readingOrder="0" vertical="center"/>
    </xf>
    <xf borderId="19" fillId="3" fontId="24" numFmtId="1" xfId="0" applyAlignment="1" applyBorder="1" applyFont="1" applyNumberFormat="1">
      <alignment horizontal="center" readingOrder="0" vertical="center"/>
    </xf>
    <xf borderId="20" fillId="3" fontId="24" numFmtId="1" xfId="0" applyAlignment="1" applyBorder="1" applyFont="1" applyNumberFormat="1">
      <alignment horizontal="center" readingOrder="0" vertical="center"/>
    </xf>
    <xf borderId="19" fillId="0" fontId="22" numFmtId="0" xfId="0" applyAlignment="1" applyBorder="1" applyFont="1">
      <alignment horizontal="center" readingOrder="0" vertical="center"/>
    </xf>
    <xf borderId="19" fillId="0" fontId="22" numFmtId="0" xfId="0" applyAlignment="1" applyBorder="1" applyFont="1">
      <alignment horizontal="center" vertical="center"/>
    </xf>
    <xf borderId="19" fillId="0" fontId="22" numFmtId="0" xfId="0" applyAlignment="1" applyBorder="1" applyFont="1">
      <alignment horizontal="center"/>
    </xf>
    <xf borderId="19" fillId="4" fontId="22" numFmtId="0" xfId="0" applyAlignment="1" applyBorder="1" applyFont="1">
      <alignment horizontal="center"/>
    </xf>
    <xf borderId="21" fillId="0" fontId="22" numFmtId="1" xfId="0" applyAlignment="1" applyBorder="1" applyFont="1" applyNumberFormat="1">
      <alignment horizontal="center"/>
    </xf>
    <xf borderId="12" fillId="0" fontId="22" numFmtId="0" xfId="0" applyAlignment="1" applyBorder="1" applyFont="1">
      <alignment horizontal="center"/>
    </xf>
    <xf borderId="4" fillId="0" fontId="22" numFmtId="0" xfId="0" applyAlignment="1" applyBorder="1" applyFont="1">
      <alignment horizontal="center"/>
    </xf>
    <xf borderId="19" fillId="0" fontId="22" numFmtId="0" xfId="0" applyAlignment="1" applyBorder="1" applyFont="1">
      <alignment horizontal="center" readingOrder="0"/>
    </xf>
    <xf borderId="20" fillId="0" fontId="22" numFmtId="0" xfId="0" applyAlignment="1" applyBorder="1" applyFont="1">
      <alignment horizontal="center" readingOrder="0" vertical="center"/>
    </xf>
    <xf borderId="20" fillId="0" fontId="22" numFmtId="0" xfId="0" applyAlignment="1" applyBorder="1" applyFont="1">
      <alignment horizontal="center" vertical="center"/>
    </xf>
    <xf borderId="20" fillId="0" fontId="22" numFmtId="0" xfId="0" applyAlignment="1" applyBorder="1" applyFont="1">
      <alignment horizontal="center"/>
    </xf>
    <xf borderId="22" fillId="0" fontId="22" numFmtId="1" xfId="0" applyAlignment="1" applyBorder="1" applyFont="1" applyNumberFormat="1">
      <alignment horizontal="center"/>
    </xf>
    <xf borderId="23" fillId="3" fontId="24" numFmtId="0" xfId="0" applyAlignment="1" applyBorder="1" applyFont="1">
      <alignment horizontal="center" vertical="center"/>
    </xf>
    <xf borderId="23" fillId="3" fontId="24" numFmtId="0" xfId="0" applyAlignment="1" applyBorder="1" applyFont="1">
      <alignment horizontal="center" readingOrder="0" vertical="center"/>
    </xf>
    <xf borderId="23" fillId="3" fontId="24" numFmtId="0" xfId="0" applyAlignment="1" applyBorder="1" applyFont="1">
      <alignment horizontal="center"/>
    </xf>
    <xf borderId="24" fillId="3" fontId="24" numFmtId="1" xfId="0" applyAlignment="1" applyBorder="1" applyFont="1" applyNumberFormat="1">
      <alignment horizontal="center"/>
    </xf>
    <xf borderId="12" fillId="3" fontId="24" numFmtId="0" xfId="0" applyAlignment="1" applyBorder="1" applyFont="1">
      <alignment horizontal="center"/>
    </xf>
    <xf borderId="1" fillId="0" fontId="22" numFmtId="0" xfId="0" applyAlignment="1" applyBorder="1" applyFont="1">
      <alignment horizontal="center" vertical="center"/>
    </xf>
    <xf borderId="1" fillId="0" fontId="22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4" fontId="2" numFmtId="0" xfId="0" applyBorder="1" applyFont="1"/>
    <xf borderId="5" fillId="0" fontId="2" numFmtId="0" xfId="0" applyBorder="1" applyFont="1"/>
    <xf borderId="1" fillId="0" fontId="2" numFmtId="0" xfId="0" applyBorder="1" applyFont="1"/>
    <xf borderId="1" fillId="4" fontId="26" numFmtId="0" xfId="0" applyAlignment="1" applyBorder="1" applyFont="1">
      <alignment horizontal="center" readingOrder="0" vertical="center"/>
    </xf>
    <xf borderId="7" fillId="3" fontId="26" numFmtId="0" xfId="0" applyAlignment="1" applyBorder="1" applyFont="1">
      <alignment horizontal="center" readingOrder="0" vertical="center"/>
    </xf>
    <xf borderId="25" fillId="0" fontId="4" numFmtId="0" xfId="0" applyBorder="1" applyFont="1"/>
    <xf borderId="26" fillId="0" fontId="4" numFmtId="0" xfId="0" applyBorder="1" applyFont="1"/>
    <xf borderId="1" fillId="4" fontId="25" numFmtId="0" xfId="0" applyAlignment="1" applyBorder="1" applyFont="1">
      <alignment horizontal="center"/>
    </xf>
    <xf borderId="2" fillId="4" fontId="25" numFmtId="0" xfId="0" applyAlignment="1" applyBorder="1" applyFont="1">
      <alignment horizontal="center"/>
    </xf>
    <xf borderId="19" fillId="3" fontId="26" numFmtId="1" xfId="0" applyAlignment="1" applyBorder="1" applyFont="1" applyNumberFormat="1">
      <alignment horizontal="center" readingOrder="0" vertical="center"/>
    </xf>
    <xf borderId="21" fillId="3" fontId="26" numFmtId="0" xfId="0" applyAlignment="1" applyBorder="1" applyFont="1">
      <alignment horizontal="center" readingOrder="0" vertical="center"/>
    </xf>
    <xf borderId="1" fillId="3" fontId="26" numFmtId="0" xfId="0" applyAlignment="1" applyBorder="1" applyFont="1">
      <alignment horizontal="center" readingOrder="0" vertical="center"/>
    </xf>
    <xf borderId="27" fillId="3" fontId="26" numFmtId="0" xfId="0" applyAlignment="1" applyBorder="1" applyFont="1">
      <alignment horizontal="center" readingOrder="0" vertical="center"/>
    </xf>
    <xf borderId="19" fillId="3" fontId="26" numFmtId="0" xfId="0" applyAlignment="1" applyBorder="1" applyFont="1">
      <alignment horizontal="center" readingOrder="0" vertical="center"/>
    </xf>
    <xf borderId="2" fillId="3" fontId="26" numFmtId="0" xfId="0" applyAlignment="1" applyBorder="1" applyFont="1">
      <alignment horizontal="center" readingOrder="0"/>
    </xf>
    <xf borderId="19" fillId="4" fontId="27" numFmtId="0" xfId="0" applyAlignment="1" applyBorder="1" applyFont="1">
      <alignment horizontal="center" vertical="center"/>
    </xf>
    <xf borderId="0" fillId="0" fontId="28" numFmtId="0" xfId="0" applyAlignment="1" applyFont="1">
      <alignment horizontal="center" vertical="center"/>
    </xf>
    <xf borderId="19" fillId="4" fontId="27" numFmtId="1" xfId="0" applyAlignment="1" applyBorder="1" applyFont="1" applyNumberFormat="1">
      <alignment horizontal="center" vertical="center"/>
    </xf>
    <xf borderId="19" fillId="0" fontId="28" numFmtId="0" xfId="0" applyAlignment="1" applyBorder="1" applyFont="1">
      <alignment horizontal="center" vertical="center"/>
    </xf>
    <xf borderId="3" fillId="4" fontId="24" numFmtId="0" xfId="0" applyAlignment="1" applyBorder="1" applyFont="1">
      <alignment horizontal="center" readingOrder="0" vertical="center"/>
    </xf>
    <xf borderId="16" fillId="3" fontId="26" numFmtId="0" xfId="0" applyAlignment="1" applyBorder="1" applyFont="1">
      <alignment horizontal="center" readingOrder="0"/>
    </xf>
    <xf borderId="19" fillId="4" fontId="13" numFmtId="3" xfId="0" applyAlignment="1" applyBorder="1" applyFont="1" applyNumberFormat="1">
      <alignment horizontal="center" readingOrder="0" vertical="center"/>
    </xf>
    <xf borderId="21" fillId="4" fontId="13" numFmtId="3" xfId="0" applyAlignment="1" applyBorder="1" applyFont="1" applyNumberFormat="1">
      <alignment horizontal="center" readingOrder="0" vertical="center"/>
    </xf>
    <xf borderId="0" fillId="0" fontId="28" numFmtId="3" xfId="0" applyAlignment="1" applyFont="1" applyNumberFormat="1">
      <alignment horizontal="center" vertical="center"/>
    </xf>
    <xf borderId="27" fillId="0" fontId="28" numFmtId="3" xfId="0" applyAlignment="1" applyBorder="1" applyFont="1" applyNumberFormat="1">
      <alignment horizontal="center" vertical="center"/>
    </xf>
    <xf borderId="19" fillId="0" fontId="28" numFmtId="3" xfId="0" applyAlignment="1" applyBorder="1" applyFont="1" applyNumberFormat="1">
      <alignment horizontal="center" vertical="center"/>
    </xf>
    <xf borderId="16" fillId="0" fontId="2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/>
    </xf>
    <xf borderId="28" fillId="0" fontId="29" numFmtId="3" xfId="0" applyAlignment="1" applyBorder="1" applyFont="1" applyNumberFormat="1">
      <alignment horizontal="center" readingOrder="0" vertical="center"/>
    </xf>
    <xf borderId="6" fillId="0" fontId="30" numFmtId="164" xfId="0" applyAlignment="1" applyBorder="1" applyFont="1" applyNumberFormat="1">
      <alignment horizontal="center"/>
    </xf>
    <xf borderId="1" fillId="4" fontId="22" numFmtId="3" xfId="0" applyAlignment="1" applyBorder="1" applyFont="1" applyNumberFormat="1">
      <alignment horizontal="center" vertical="bottom"/>
    </xf>
    <xf borderId="1" fillId="4" fontId="22" numFmtId="0" xfId="0" applyAlignment="1" applyBorder="1" applyFont="1">
      <alignment horizontal="center" readingOrder="0" vertical="bottom"/>
    </xf>
    <xf borderId="1" fillId="4" fontId="22" numFmtId="3" xfId="0" applyAlignment="1" applyBorder="1" applyFont="1" applyNumberFormat="1">
      <alignment horizontal="center" readingOrder="0"/>
    </xf>
    <xf borderId="7" fillId="4" fontId="24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/>
    </xf>
    <xf borderId="1" fillId="4" fontId="22" numFmtId="0" xfId="0" applyAlignment="1" applyBorder="1" applyFont="1">
      <alignment horizontal="center"/>
    </xf>
    <xf borderId="5" fillId="4" fontId="24" numFmtId="0" xfId="0" applyAlignment="1" applyBorder="1" applyFont="1">
      <alignment horizontal="center" readingOrder="0"/>
    </xf>
    <xf borderId="5" fillId="0" fontId="22" numFmtId="3" xfId="0" applyAlignment="1" applyBorder="1" applyFont="1" applyNumberFormat="1">
      <alignment horizontal="center" vertical="bottom"/>
    </xf>
    <xf borderId="29" fillId="3" fontId="24" numFmtId="0" xfId="0" applyAlignment="1" applyBorder="1" applyFont="1">
      <alignment horizontal="center" readingOrder="0" vertical="center"/>
    </xf>
    <xf borderId="29" fillId="0" fontId="4" numFmtId="0" xfId="0" applyBorder="1" applyFont="1"/>
    <xf borderId="30" fillId="0" fontId="4" numFmtId="0" xfId="0" applyBorder="1" applyFont="1"/>
    <xf borderId="31" fillId="0" fontId="4" numFmtId="0" xfId="0" applyBorder="1" applyFont="1"/>
    <xf borderId="32" fillId="4" fontId="25" numFmtId="0" xfId="0" applyAlignment="1" applyBorder="1" applyFont="1">
      <alignment horizontal="center"/>
    </xf>
    <xf borderId="0" fillId="4" fontId="24" numFmtId="0" xfId="0" applyAlignment="1" applyFont="1">
      <alignment horizontal="center" readingOrder="0" vertical="center"/>
    </xf>
    <xf borderId="0" fillId="0" fontId="22" numFmtId="0" xfId="0" applyFont="1"/>
    <xf borderId="0" fillId="0" fontId="22" numFmtId="3" xfId="0" applyAlignment="1" applyFont="1" applyNumberFormat="1">
      <alignment horizontal="center" vertical="bottom"/>
    </xf>
    <xf borderId="0" fillId="0" fontId="22" numFmtId="0" xfId="0" applyAlignment="1" applyFont="1">
      <alignment horizontal="center"/>
    </xf>
    <xf borderId="33" fillId="0" fontId="22" numFmtId="0" xfId="0" applyBorder="1" applyFont="1"/>
    <xf borderId="20" fillId="3" fontId="26" numFmtId="1" xfId="0" applyAlignment="1" applyBorder="1" applyFont="1" applyNumberForma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0" fillId="0" fontId="2" numFmtId="0" xfId="0" applyAlignment="1" applyFont="1">
      <alignment readingOrder="0" vertical="center"/>
    </xf>
    <xf borderId="1" fillId="2" fontId="31" numFmtId="0" xfId="0" applyAlignment="1" applyBorder="1" applyFont="1">
      <alignment horizontal="center" readingOrder="0" vertical="center"/>
    </xf>
    <xf borderId="1" fillId="2" fontId="1" numFmtId="0" xfId="0" applyAlignment="1" applyBorder="1" applyFont="1">
      <alignment horizontal="center" readingOrder="0" vertical="center"/>
    </xf>
    <xf borderId="1" fillId="2" fontId="9" numFmtId="49" xfId="0" applyAlignment="1" applyBorder="1" applyFont="1" applyNumberFormat="1">
      <alignment horizontal="center" readingOrder="0" vertical="center"/>
    </xf>
    <xf borderId="1" fillId="2" fontId="9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 shrinkToFit="0" vertical="center" wrapText="1"/>
    </xf>
    <xf borderId="3" fillId="3" fontId="3" numFmtId="0" xfId="0" applyAlignment="1" applyBorder="1" applyFont="1">
      <alignment horizontal="left" readingOrder="0" vertical="center"/>
    </xf>
    <xf borderId="4" fillId="3" fontId="3" numFmtId="0" xfId="0" applyAlignment="1" applyBorder="1" applyFont="1">
      <alignment horizontal="left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" fillId="2" fontId="9" numFmtId="0" xfId="0" applyAlignment="1" applyBorder="1" applyFont="1">
      <alignment horizontal="center" readingOrder="0" vertical="center"/>
    </xf>
    <xf borderId="7" fillId="2" fontId="1" numFmtId="0" xfId="0" applyAlignment="1" applyBorder="1" applyFont="1">
      <alignment horizontal="center" vertical="center"/>
    </xf>
    <xf borderId="25" fillId="2" fontId="6" numFmtId="0" xfId="0" applyAlignment="1" applyBorder="1" applyFont="1">
      <alignment horizontal="left" readingOrder="0" vertical="center"/>
    </xf>
    <xf borderId="26" fillId="2" fontId="1" numFmtId="0" xfId="0" applyAlignment="1" applyBorder="1" applyFont="1">
      <alignment horizontal="left" shrinkToFit="0" vertical="center" wrapText="1"/>
    </xf>
    <xf borderId="26" fillId="2" fontId="1" numFmtId="0" xfId="0" applyAlignment="1" applyBorder="1" applyFont="1">
      <alignment horizontal="center" shrinkToFit="0" vertical="center" wrapText="1"/>
    </xf>
    <xf borderId="5" fillId="2" fontId="1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left" readingOrder="0" vertical="center"/>
    </xf>
    <xf borderId="5" fillId="2" fontId="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0" fillId="3" fontId="3" numFmtId="0" xfId="0" applyAlignment="1" applyFont="1">
      <alignment horizontal="center" readingOrder="0" shrinkToFit="0" vertical="center" wrapText="1"/>
    </xf>
    <xf borderId="4" fillId="2" fontId="9" numFmtId="49" xfId="0" applyAlignment="1" applyBorder="1" applyFont="1" applyNumberForma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2" fontId="6" numFmtId="0" xfId="0" applyAlignment="1" applyFont="1">
      <alignment horizontal="center" readingOrder="0" shrinkToFit="0" vertical="center" wrapText="1"/>
    </xf>
    <xf borderId="5" fillId="2" fontId="1" numFmtId="0" xfId="0" applyAlignment="1" applyBorder="1" applyFont="1">
      <alignment horizontal="center" readingOrder="0" vertical="center"/>
    </xf>
    <xf borderId="6" fillId="2" fontId="6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left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5" fillId="2" fontId="9" numFmtId="49" xfId="0" applyAlignment="1" applyBorder="1" applyFont="1" applyNumberFormat="1">
      <alignment horizontal="center" readingOrder="0" vertical="center"/>
    </xf>
    <xf borderId="5" fillId="2" fontId="9" numFmtId="0" xfId="0" applyAlignment="1" applyBorder="1" applyFont="1">
      <alignment horizontal="center" readingOrder="0" shrinkToFit="0" vertical="center" wrapText="1"/>
    </xf>
    <xf borderId="34" fillId="3" fontId="3" numFmtId="0" xfId="0" applyAlignment="1" applyBorder="1" applyFont="1">
      <alignment horizontal="center" readingOrder="0" vertical="center"/>
    </xf>
    <xf borderId="34" fillId="3" fontId="3" numFmtId="0" xfId="0" applyAlignment="1" applyBorder="1" applyFont="1">
      <alignment horizontal="center" readingOrder="0" shrinkToFit="0" vertical="center" wrapText="1"/>
    </xf>
    <xf borderId="34" fillId="3" fontId="3" numFmtId="49" xfId="0" applyAlignment="1" applyBorder="1" applyFont="1" applyNumberFormat="1">
      <alignment horizontal="center" readingOrder="0" vertical="center"/>
    </xf>
    <xf borderId="0" fillId="4" fontId="9" numFmtId="0" xfId="0" applyAlignment="1" applyFont="1">
      <alignment horizontal="center" readingOrder="0"/>
    </xf>
    <xf borderId="0" fillId="4" fontId="9" numFmtId="0" xfId="0" applyAlignment="1" applyFont="1">
      <alignment horizontal="center" readingOrder="0" vertical="bottom"/>
    </xf>
    <xf borderId="34" fillId="4" fontId="9" numFmtId="0" xfId="0" applyAlignment="1" applyBorder="1" applyFont="1">
      <alignment horizontal="center" readingOrder="0" vertical="bottom"/>
    </xf>
    <xf borderId="34" fillId="4" fontId="32" numFmtId="0" xfId="0" applyAlignment="1" applyBorder="1" applyFont="1">
      <alignment horizontal="center" readingOrder="0" vertical="bottom"/>
    </xf>
    <xf borderId="34" fillId="4" fontId="9" numFmtId="0" xfId="0" applyAlignment="1" applyBorder="1" applyFont="1">
      <alignment horizontal="left" readingOrder="0" shrinkToFit="0" vertical="bottom" wrapText="1"/>
    </xf>
    <xf borderId="34" fillId="4" fontId="9" numFmtId="0" xfId="0" applyAlignment="1" applyBorder="1" applyFont="1">
      <alignment horizontal="center" readingOrder="0" shrinkToFit="0" vertical="bottom" wrapText="1"/>
    </xf>
    <xf borderId="34" fillId="4" fontId="9" numFmtId="49" xfId="0" applyAlignment="1" applyBorder="1" applyFont="1" applyNumberFormat="1">
      <alignment horizontal="center" readingOrder="0"/>
    </xf>
    <xf borderId="35" fillId="4" fontId="9" numFmtId="0" xfId="0" applyAlignment="1" applyBorder="1" applyFont="1">
      <alignment horizontal="center" readingOrder="0"/>
    </xf>
    <xf borderId="12" fillId="4" fontId="9" numFmtId="0" xfId="0" applyAlignment="1" applyBorder="1" applyFont="1">
      <alignment horizontal="center" readingOrder="0" shrinkToFit="0" wrapText="1"/>
    </xf>
    <xf borderId="17" fillId="4" fontId="32" numFmtId="0" xfId="0" applyAlignment="1" applyBorder="1" applyFont="1">
      <alignment horizontal="center" readingOrder="0" shrinkToFit="0" vertical="center" wrapText="1"/>
    </xf>
    <xf borderId="12" fillId="4" fontId="32" numFmtId="0" xfId="0" applyAlignment="1" applyBorder="1" applyFont="1">
      <alignment horizontal="center" readingOrder="0" shrinkToFit="0" vertical="center" wrapText="1"/>
    </xf>
    <xf borderId="12" fillId="4" fontId="9" numFmtId="0" xfId="0" applyAlignment="1" applyBorder="1" applyFont="1">
      <alignment horizontal="center" readingOrder="0"/>
    </xf>
    <xf borderId="34" fillId="4" fontId="9" numFmtId="0" xfId="0" applyAlignment="1" applyBorder="1" applyFont="1">
      <alignment horizontal="left" readingOrder="0" vertical="bottom"/>
    </xf>
    <xf borderId="34" fillId="4" fontId="9" numFmtId="49" xfId="0" applyAlignment="1" applyBorder="1" applyFont="1" applyNumberFormat="1">
      <alignment horizontal="center"/>
    </xf>
    <xf borderId="0" fillId="4" fontId="9" numFmtId="0" xfId="0" applyAlignment="1" applyFont="1">
      <alignment horizontal="center" readingOrder="0" vertical="center"/>
    </xf>
    <xf borderId="34" fillId="4" fontId="9" numFmtId="0" xfId="0" applyAlignment="1" applyBorder="1" applyFont="1">
      <alignment horizontal="center" readingOrder="0" vertical="center"/>
    </xf>
    <xf borderId="34" fillId="4" fontId="9" numFmtId="0" xfId="0" applyAlignment="1" applyBorder="1" applyFont="1">
      <alignment horizontal="left" readingOrder="0" shrinkToFit="0" vertical="center" wrapText="1"/>
    </xf>
    <xf borderId="34" fillId="4" fontId="9" numFmtId="49" xfId="0" applyAlignment="1" applyBorder="1" applyFont="1" applyNumberFormat="1">
      <alignment horizontal="center" readingOrder="0" vertical="center"/>
    </xf>
    <xf borderId="35" fillId="4" fontId="9" numFmtId="0" xfId="0" applyAlignment="1" applyBorder="1" applyFont="1">
      <alignment horizontal="center" readingOrder="0" vertical="center"/>
    </xf>
    <xf borderId="12" fillId="4" fontId="9" numFmtId="0" xfId="0" applyAlignment="1" applyBorder="1" applyFont="1">
      <alignment horizontal="center" readingOrder="0" shrinkToFit="0" vertical="center" wrapText="1"/>
    </xf>
    <xf borderId="17" fillId="4" fontId="9" numFmtId="0" xfId="0" applyAlignment="1" applyBorder="1" applyFont="1">
      <alignment horizontal="center" readingOrder="0" shrinkToFit="0" vertical="center" wrapText="1"/>
    </xf>
    <xf borderId="12" fillId="4" fontId="12" numFmtId="0" xfId="0" applyAlignment="1" applyBorder="1" applyFont="1">
      <alignment horizontal="center" readingOrder="0" vertical="bottom"/>
    </xf>
    <xf borderId="7" fillId="2" fontId="1" numFmtId="0" xfId="0" applyAlignment="1" applyBorder="1" applyFont="1">
      <alignment horizontal="center" vertical="center"/>
    </xf>
    <xf borderId="5" fillId="2" fontId="9" numFmtId="0" xfId="0" applyAlignment="1" applyBorder="1" applyFont="1">
      <alignment horizontal="center" readingOrder="0" vertical="center"/>
    </xf>
    <xf borderId="36" fillId="3" fontId="3" numFmtId="0" xfId="0" applyAlignment="1" applyBorder="1" applyFont="1">
      <alignment horizontal="center" readingOrder="0" vertical="center"/>
    </xf>
    <xf borderId="0" fillId="6" fontId="9" numFmtId="0" xfId="0" applyAlignment="1" applyFill="1" applyFont="1">
      <alignment horizontal="center" readingOrder="0"/>
    </xf>
    <xf borderId="0" fillId="6" fontId="9" numFmtId="0" xfId="0" applyAlignment="1" applyFont="1">
      <alignment horizontal="center" readingOrder="0" vertical="bottom"/>
    </xf>
    <xf borderId="31" fillId="4" fontId="9" numFmtId="0" xfId="0" applyAlignment="1" applyBorder="1" applyFont="1">
      <alignment horizontal="center" readingOrder="0"/>
    </xf>
    <xf borderId="10" fillId="4" fontId="9" numFmtId="0" xfId="0" applyAlignment="1" applyBorder="1" applyFont="1">
      <alignment horizontal="center" readingOrder="0"/>
    </xf>
    <xf borderId="19" fillId="4" fontId="9" numFmtId="0" xfId="0" applyAlignment="1" applyBorder="1" applyFont="1">
      <alignment horizontal="center" readingOrder="0"/>
    </xf>
    <xf borderId="31" fillId="2" fontId="33" numFmtId="0" xfId="0" applyAlignment="1" applyBorder="1" applyFont="1">
      <alignment horizontal="center" readingOrder="0" shrinkToFit="0" vertical="center" wrapText="1"/>
    </xf>
    <xf borderId="34" fillId="0" fontId="9" numFmtId="0" xfId="0" applyAlignment="1" applyBorder="1" applyFont="1">
      <alignment horizontal="center" readingOrder="0" vertical="bottom"/>
    </xf>
    <xf borderId="35" fillId="0" fontId="9" numFmtId="0" xfId="0" applyAlignment="1" applyBorder="1" applyFont="1">
      <alignment horizontal="center" readingOrder="0"/>
    </xf>
    <xf borderId="12" fillId="0" fontId="9" numFmtId="0" xfId="0" applyAlignment="1" applyBorder="1" applyFont="1">
      <alignment horizontal="center" readingOrder="0"/>
    </xf>
    <xf borderId="31" fillId="0" fontId="9" numFmtId="0" xfId="0" applyAlignment="1" applyBorder="1" applyFont="1">
      <alignment horizontal="center" readingOrder="0"/>
    </xf>
    <xf borderId="10" fillId="0" fontId="9" numFmtId="0" xfId="0" applyAlignment="1" applyBorder="1" applyFont="1">
      <alignment horizontal="center" readingOrder="0"/>
    </xf>
    <xf borderId="19" fillId="0" fontId="9" numFmtId="0" xfId="0" applyAlignment="1" applyBorder="1" applyFont="1">
      <alignment horizontal="center" readingOrder="0"/>
    </xf>
    <xf borderId="31" fillId="0" fontId="32" numFmtId="0" xfId="0" applyAlignment="1" applyBorder="1" applyFont="1">
      <alignment horizontal="center" readingOrder="0" shrinkToFit="0" vertical="center" wrapText="1"/>
    </xf>
    <xf borderId="34" fillId="0" fontId="9" numFmtId="0" xfId="0" applyAlignment="1" applyBorder="1" applyFont="1">
      <alignment horizontal="left" readingOrder="0" shrinkToFit="0" vertical="bottom" wrapText="1"/>
    </xf>
    <xf borderId="34" fillId="0" fontId="9" numFmtId="0" xfId="0" applyAlignment="1" applyBorder="1" applyFont="1">
      <alignment horizontal="left" readingOrder="0" vertical="bottom"/>
    </xf>
    <xf borderId="34" fillId="0" fontId="9" numFmtId="0" xfId="0" applyAlignment="1" applyBorder="1" applyFont="1">
      <alignment horizontal="center" readingOrder="0" vertical="center"/>
    </xf>
    <xf borderId="34" fillId="0" fontId="9" numFmtId="0" xfId="0" applyAlignment="1" applyBorder="1" applyFont="1">
      <alignment horizontal="left" readingOrder="0" shrinkToFit="0" vertical="center" wrapText="1"/>
    </xf>
    <xf borderId="31" fillId="0" fontId="9" numFmtId="0" xfId="0" applyAlignment="1" applyBorder="1" applyFont="1">
      <alignment horizontal="center" readingOrder="0" shrinkToFit="0" vertical="center" wrapText="1"/>
    </xf>
    <xf borderId="34" fillId="2" fontId="9" numFmtId="0" xfId="0" applyAlignment="1" applyBorder="1" applyFont="1">
      <alignment horizontal="left" readingOrder="0" shrinkToFit="0" vertical="bottom" wrapText="1"/>
    </xf>
    <xf borderId="34" fillId="0" fontId="9" numFmtId="0" xfId="0" applyAlignment="1" applyBorder="1" applyFont="1">
      <alignment horizontal="left" readingOrder="0" vertical="center"/>
    </xf>
    <xf borderId="34" fillId="4" fontId="9" numFmtId="0" xfId="0" applyAlignment="1" applyBorder="1" applyFont="1">
      <alignment horizontal="center" readingOrder="0" shrinkToFit="0" vertical="center" wrapText="1"/>
    </xf>
    <xf borderId="34" fillId="4" fontId="9" numFmtId="0" xfId="0" applyAlignment="1" applyBorder="1" applyFont="1">
      <alignment horizontal="left" readingOrder="0" vertical="center"/>
    </xf>
    <xf borderId="0" fillId="4" fontId="32" numFmtId="0" xfId="0" applyAlignment="1" applyFont="1">
      <alignment horizontal="center" readingOrder="0" vertical="center"/>
    </xf>
    <xf borderId="34" fillId="4" fontId="32" numFmtId="0" xfId="0" applyAlignment="1" applyBorder="1" applyFont="1">
      <alignment horizontal="center" readingOrder="0" vertical="center"/>
    </xf>
    <xf borderId="34" fillId="4" fontId="32" numFmtId="0" xfId="0" applyAlignment="1" applyBorder="1" applyFont="1">
      <alignment horizontal="left" readingOrder="0" shrinkToFit="0" vertical="center" wrapText="1"/>
    </xf>
    <xf borderId="35" fillId="4" fontId="32" numFmtId="0" xfId="0" applyAlignment="1" applyBorder="1" applyFont="1">
      <alignment horizontal="center" readingOrder="0" vertical="center"/>
    </xf>
    <xf borderId="12" fillId="4" fontId="9" numFmtId="0" xfId="0" applyAlignment="1" applyBorder="1" applyFont="1">
      <alignment vertical="bottom"/>
    </xf>
    <xf borderId="0" fillId="4" fontId="9" numFmtId="0" xfId="0" applyAlignment="1" applyFont="1">
      <alignment horizontal="center" readingOrder="0" vertical="bottom"/>
    </xf>
    <xf borderId="12" fillId="4" fontId="9" numFmtId="0" xfId="0" applyAlignment="1" applyBorder="1" applyFont="1">
      <alignment horizontal="center" shrinkToFit="0" vertical="bottom" wrapText="1"/>
    </xf>
    <xf borderId="12" fillId="4" fontId="9" numFmtId="0" xfId="0" applyAlignment="1" applyBorder="1" applyFont="1">
      <alignment readingOrder="0" vertical="bottom"/>
    </xf>
    <xf borderId="34" fillId="4" fontId="9" numFmtId="0" xfId="0" applyAlignment="1" applyBorder="1" applyFont="1">
      <alignment readingOrder="0" vertical="center"/>
    </xf>
    <xf borderId="34" fillId="4" fontId="34" numFmtId="0" xfId="0" applyAlignment="1" applyBorder="1" applyFont="1">
      <alignment horizontal="center" readingOrder="0" vertical="center"/>
    </xf>
    <xf borderId="35" fillId="4" fontId="9" numFmtId="0" xfId="0" applyAlignment="1" applyBorder="1" applyFont="1">
      <alignment horizontal="center" vertical="center"/>
    </xf>
    <xf borderId="12" fillId="4" fontId="9" numFmtId="0" xfId="0" applyAlignment="1" applyBorder="1" applyFont="1">
      <alignment horizontal="center" shrinkToFit="0" vertical="center" wrapText="1"/>
    </xf>
    <xf borderId="0" fillId="4" fontId="35" numFmtId="0" xfId="0" applyAlignment="1" applyFont="1">
      <alignment horizontal="center" readingOrder="0"/>
    </xf>
    <xf borderId="0" fillId="4" fontId="2" numFmtId="0" xfId="0" applyAlignment="1" applyFont="1">
      <alignment horizontal="center" readingOrder="0"/>
    </xf>
    <xf borderId="35" fillId="4" fontId="9" numFmtId="0" xfId="0" applyAlignment="1" applyBorder="1" applyFont="1">
      <alignment horizontal="center"/>
    </xf>
    <xf borderId="12" fillId="4" fontId="9" numFmtId="0" xfId="0" applyAlignment="1" applyBorder="1" applyFont="1">
      <alignment horizontal="center" shrinkToFit="0" wrapText="1"/>
    </xf>
    <xf borderId="0" fillId="4" fontId="2" numFmtId="0" xfId="0" applyAlignment="1" applyFont="1">
      <alignment readingOrder="0"/>
    </xf>
    <xf borderId="37" fillId="4" fontId="9" numFmtId="0" xfId="0" applyAlignment="1" applyBorder="1" applyFont="1">
      <alignment horizontal="center" vertical="bottom"/>
    </xf>
    <xf borderId="0" fillId="4" fontId="10" numFmtId="0" xfId="0" applyAlignment="1" applyFont="1">
      <alignment vertical="bottom"/>
    </xf>
    <xf borderId="0" fillId="7" fontId="9" numFmtId="0" xfId="0" applyAlignment="1" applyFill="1" applyFont="1">
      <alignment horizontal="center" readingOrder="0"/>
    </xf>
    <xf borderId="34" fillId="2" fontId="9" numFmtId="0" xfId="0" applyAlignment="1" applyBorder="1" applyFont="1">
      <alignment horizontal="center" readingOrder="0" vertical="bottom"/>
    </xf>
    <xf borderId="34" fillId="2" fontId="9" numFmtId="0" xfId="0" applyAlignment="1" applyBorder="1" applyFont="1">
      <alignment horizontal="left" readingOrder="0" vertical="bottom"/>
    </xf>
    <xf borderId="34" fillId="2" fontId="9" numFmtId="0" xfId="0" applyAlignment="1" applyBorder="1" applyFont="1">
      <alignment horizontal="center" readingOrder="0" shrinkToFit="0" vertical="bottom" wrapText="1"/>
    </xf>
    <xf borderId="35" fillId="2" fontId="9" numFmtId="0" xfId="0" applyAlignment="1" applyBorder="1" applyFont="1">
      <alignment horizontal="center" readingOrder="0"/>
    </xf>
    <xf borderId="12" fillId="2" fontId="9" numFmtId="0" xfId="0" applyAlignment="1" applyBorder="1" applyFont="1">
      <alignment horizontal="center" readingOrder="0" shrinkToFit="0" wrapText="1"/>
    </xf>
    <xf borderId="0" fillId="4" fontId="36" numFmtId="0" xfId="0" applyAlignment="1" applyFont="1">
      <alignment horizontal="center" readingOrder="0" vertical="bottom"/>
    </xf>
    <xf borderId="0" fillId="4" fontId="36" numFmtId="0" xfId="0" applyAlignment="1" applyFont="1">
      <alignment horizontal="left" readingOrder="0" shrinkToFit="0" vertical="bottom" wrapText="1"/>
    </xf>
    <xf borderId="0" fillId="4" fontId="36" numFmtId="0" xfId="0" applyAlignment="1" applyFont="1">
      <alignment horizontal="center" readingOrder="0"/>
    </xf>
    <xf borderId="0" fillId="4" fontId="36" numFmtId="0" xfId="0" applyAlignment="1" applyFont="1">
      <alignment horizontal="center" readingOrder="0" shrinkToFit="0" wrapText="1"/>
    </xf>
    <xf borderId="34" fillId="3" fontId="3" numFmtId="0" xfId="0" applyAlignment="1" applyBorder="1" applyFont="1">
      <alignment horizontal="left" readingOrder="0" vertical="center"/>
    </xf>
    <xf borderId="34" fillId="5" fontId="9" numFmtId="0" xfId="0" applyAlignment="1" applyBorder="1" applyFont="1">
      <alignment horizontal="left" readingOrder="0" vertical="center"/>
    </xf>
    <xf borderId="34" fillId="4" fontId="32" numFmtId="0" xfId="0" applyAlignment="1" applyBorder="1" applyFont="1">
      <alignment horizontal="left" readingOrder="0" vertical="center"/>
    </xf>
    <xf borderId="34" fillId="4" fontId="33" numFmtId="0" xfId="0" applyAlignment="1" applyBorder="1" applyFont="1">
      <alignment horizontal="center" readingOrder="0" vertical="center"/>
    </xf>
    <xf borderId="12" fillId="4" fontId="33" numFmtId="0" xfId="0" applyAlignment="1" applyBorder="1" applyFont="1">
      <alignment horizontal="center" readingOrder="0" shrinkToFit="0" vertical="center" wrapText="1"/>
    </xf>
    <xf borderId="33" fillId="2" fontId="1" numFmtId="0" xfId="0" applyAlignment="1" applyBorder="1" applyFont="1">
      <alignment horizontal="center" readingOrder="0" vertical="center"/>
    </xf>
    <xf borderId="38" fillId="2" fontId="6" numFmtId="0" xfId="0" applyAlignment="1" applyBorder="1" applyFont="1">
      <alignment horizontal="center" vertical="center"/>
    </xf>
    <xf borderId="0" fillId="2" fontId="6" numFmtId="0" xfId="0" applyAlignment="1" applyFont="1">
      <alignment horizontal="center" vertical="center"/>
    </xf>
    <xf borderId="9" fillId="2" fontId="6" numFmtId="0" xfId="0" applyAlignment="1" applyBorder="1" applyFont="1">
      <alignment horizontal="left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39" fillId="3" fontId="3" numFmtId="0" xfId="0" applyAlignment="1" applyBorder="1" applyFont="1">
      <alignment horizontal="center" readingOrder="0" vertical="center"/>
    </xf>
    <xf borderId="40" fillId="3" fontId="3" numFmtId="0" xfId="0" applyAlignment="1" applyBorder="1" applyFont="1">
      <alignment horizontal="center" readingOrder="0" vertical="center"/>
    </xf>
    <xf borderId="40" fillId="3" fontId="3" numFmtId="0" xfId="0" applyAlignment="1" applyBorder="1" applyFont="1">
      <alignment horizontal="center" readingOrder="0" shrinkToFit="0" vertical="center" wrapText="1"/>
    </xf>
    <xf borderId="41" fillId="3" fontId="3" numFmtId="0" xfId="0" applyAlignment="1" applyBorder="1" applyFont="1">
      <alignment horizontal="center" readingOrder="0" vertical="center"/>
    </xf>
    <xf borderId="42" fillId="4" fontId="9" numFmtId="0" xfId="0" applyAlignment="1" applyBorder="1" applyFont="1">
      <alignment horizontal="center" readingOrder="0" vertical="bottom"/>
    </xf>
    <xf borderId="43" fillId="4" fontId="9" numFmtId="0" xfId="0" applyAlignment="1" applyBorder="1" applyFont="1">
      <alignment horizontal="center" readingOrder="0"/>
    </xf>
    <xf borderId="31" fillId="4" fontId="9" numFmtId="0" xfId="0" applyAlignment="1" applyBorder="1" applyFont="1">
      <alignment horizontal="center" readingOrder="0" shrinkToFit="0" wrapText="1"/>
    </xf>
    <xf borderId="43" fillId="4" fontId="9" numFmtId="0" xfId="0" applyAlignment="1" applyBorder="1" applyFont="1">
      <alignment horizontal="center" readingOrder="0" vertical="center"/>
    </xf>
    <xf borderId="31" fillId="4" fontId="9" numFmtId="0" xfId="0" applyAlignment="1" applyBorder="1" applyFont="1">
      <alignment horizontal="center" readingOrder="0" shrinkToFit="0" vertical="center" wrapText="1"/>
    </xf>
    <xf borderId="42" fillId="4" fontId="9" numFmtId="0" xfId="0" applyAlignment="1" applyBorder="1" applyFont="1">
      <alignment horizontal="center" readingOrder="0" vertical="center"/>
    </xf>
    <xf borderId="43" fillId="4" fontId="32" numFmtId="0" xfId="0" applyAlignment="1" applyBorder="1" applyFont="1">
      <alignment horizontal="center" readingOrder="0" vertical="center"/>
    </xf>
    <xf borderId="31" fillId="4" fontId="32" numFmtId="0" xfId="0" applyAlignment="1" applyBorder="1" applyFont="1">
      <alignment horizontal="center" readingOrder="0" shrinkToFit="0" vertical="center" wrapText="1"/>
    </xf>
    <xf borderId="31" fillId="4" fontId="9" numFmtId="0" xfId="0" applyAlignment="1" applyBorder="1" applyFont="1">
      <alignment vertical="bottom"/>
    </xf>
    <xf borderId="31" fillId="4" fontId="9" numFmtId="0" xfId="0" applyAlignment="1" applyBorder="1" applyFont="1">
      <alignment horizontal="center" shrinkToFit="0" vertical="bottom" wrapText="1"/>
    </xf>
    <xf borderId="31" fillId="4" fontId="9" numFmtId="0" xfId="0" applyAlignment="1" applyBorder="1" applyFont="1">
      <alignment readingOrder="0" vertical="bottom"/>
    </xf>
    <xf borderId="31" fillId="4" fontId="33" numFmtId="0" xfId="0" applyAlignment="1" applyBorder="1" applyFont="1">
      <alignment horizontal="center" readingOrder="0" shrinkToFit="0" vertical="center" wrapText="1"/>
    </xf>
    <xf borderId="43" fillId="4" fontId="9" numFmtId="0" xfId="0" applyAlignment="1" applyBorder="1" applyFont="1">
      <alignment horizontal="center"/>
    </xf>
    <xf borderId="31" fillId="4" fontId="9" numFmtId="0" xfId="0" applyAlignment="1" applyBorder="1" applyFont="1">
      <alignment horizontal="center" shrinkToFit="0" wrapText="1"/>
    </xf>
    <xf borderId="44" fillId="4" fontId="9" numFmtId="0" xfId="0" applyAlignment="1" applyBorder="1" applyFont="1">
      <alignment horizontal="center" vertical="bottom"/>
    </xf>
    <xf borderId="42" fillId="2" fontId="9" numFmtId="0" xfId="0" applyAlignment="1" applyBorder="1" applyFont="1">
      <alignment horizontal="center" readingOrder="0" vertical="bottom"/>
    </xf>
    <xf borderId="43" fillId="2" fontId="9" numFmtId="0" xfId="0" applyAlignment="1" applyBorder="1" applyFont="1">
      <alignment horizontal="center" readingOrder="0"/>
    </xf>
    <xf borderId="31" fillId="2" fontId="9" numFmtId="0" xfId="0" applyAlignment="1" applyBorder="1" applyFont="1">
      <alignment horizontal="center" readingOrder="0" shrinkToFit="0" wrapText="1"/>
    </xf>
    <xf borderId="45" fillId="4" fontId="9" numFmtId="0" xfId="0" applyAlignment="1" applyBorder="1" applyFont="1">
      <alignment horizontal="center" readingOrder="0" vertical="center"/>
    </xf>
    <xf borderId="46" fillId="4" fontId="9" numFmtId="0" xfId="0" applyAlignment="1" applyBorder="1" applyFont="1">
      <alignment horizontal="center" readingOrder="0" vertical="center"/>
    </xf>
    <xf borderId="46" fillId="4" fontId="9" numFmtId="0" xfId="0" applyAlignment="1" applyBorder="1" applyFont="1">
      <alignment horizontal="left" readingOrder="0" vertical="center"/>
    </xf>
    <xf borderId="46" fillId="4" fontId="9" numFmtId="0" xfId="0" applyAlignment="1" applyBorder="1" applyFont="1">
      <alignment horizontal="center" readingOrder="0" shrinkToFit="0" vertical="center" wrapText="1"/>
    </xf>
    <xf borderId="47" fillId="4" fontId="9" numFmtId="0" xfId="0" applyAlignment="1" applyBorder="1" applyFont="1">
      <alignment horizontal="center" readingOrder="0" vertical="center"/>
    </xf>
    <xf borderId="48" fillId="4" fontId="9" numFmtId="0" xfId="0" applyAlignment="1" applyBorder="1" applyFont="1">
      <alignment horizontal="center" readingOrder="0" vertical="bottom"/>
    </xf>
    <xf borderId="48" fillId="4" fontId="9" numFmtId="0" xfId="0" applyAlignment="1" applyBorder="1" applyFont="1">
      <alignment horizontal="left" readingOrder="0" vertical="bottom"/>
    </xf>
    <xf borderId="48" fillId="4" fontId="9" numFmtId="0" xfId="0" applyAlignment="1" applyBorder="1" applyFont="1">
      <alignment horizontal="center" readingOrder="0" shrinkToFit="0" vertical="bottom" wrapText="1"/>
    </xf>
    <xf borderId="49" fillId="4" fontId="9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0" fillId="3" fontId="8" numFmtId="0" xfId="0" applyFont="1"/>
    <xf borderId="0" fillId="3" fontId="8" numFmtId="0" xfId="0" applyAlignment="1" applyFont="1">
      <alignment horizontal="center"/>
    </xf>
    <xf borderId="0" fillId="0" fontId="2" numFmtId="0" xfId="0" applyFont="1"/>
    <xf borderId="1" fillId="4" fontId="3" numFmtId="0" xfId="0" applyAlignment="1" applyBorder="1" applyFont="1">
      <alignment horizontal="center" readingOrder="0" shrinkToFit="0" vertical="center" wrapText="1"/>
    </xf>
    <xf borderId="0" fillId="4" fontId="32" numFmtId="0" xfId="0" applyAlignment="1" applyFont="1">
      <alignment horizontal="center" readingOrder="0" shrinkToFit="0" vertical="center" wrapText="1"/>
    </xf>
    <xf borderId="0" fillId="4" fontId="9" numFmtId="0" xfId="0" applyAlignment="1" applyFont="1">
      <alignment horizontal="center" readingOrder="0" shrinkToFit="0" vertical="center" wrapText="1"/>
    </xf>
    <xf borderId="0" fillId="4" fontId="33" numFmtId="0" xfId="0" applyAlignment="1" applyFont="1">
      <alignment horizontal="center" readingOrder="0" shrinkToFit="0" vertical="center" wrapText="1"/>
    </xf>
    <xf borderId="12" fillId="4" fontId="9" numFmtId="0" xfId="0" applyAlignment="1" applyBorder="1" applyFont="1">
      <alignment horizontal="center" vertical="bottom"/>
    </xf>
    <xf borderId="34" fillId="4" fontId="9" numFmtId="0" xfId="0" applyAlignment="1" applyBorder="1" applyFont="1">
      <alignment readingOrder="0"/>
    </xf>
    <xf borderId="34" fillId="4" fontId="32" numFmtId="0" xfId="0" applyAlignment="1" applyBorder="1" applyFont="1">
      <alignment horizontal="left" readingOrder="0" vertical="bottom"/>
    </xf>
    <xf borderId="34" fillId="4" fontId="33" numFmtId="0" xfId="0" applyAlignment="1" applyBorder="1" applyFont="1">
      <alignment horizontal="center" readingOrder="0" vertical="bottom"/>
    </xf>
    <xf borderId="34" fillId="4" fontId="33" numFmtId="49" xfId="0" applyAlignment="1" applyBorder="1" applyFont="1" applyNumberFormat="1">
      <alignment horizontal="center" readingOrder="0"/>
    </xf>
    <xf borderId="12" fillId="4" fontId="33" numFmtId="0" xfId="0" applyAlignment="1" applyBorder="1" applyFont="1">
      <alignment horizontal="center" readingOrder="0" shrinkToFit="0" wrapText="1"/>
    </xf>
    <xf borderId="12" fillId="4" fontId="9" numFmtId="0" xfId="0" applyAlignment="1" applyBorder="1" applyFont="1">
      <alignment horizontal="center" readingOrder="0" shrinkToFit="0" wrapText="1"/>
    </xf>
    <xf borderId="34" fillId="4" fontId="9" numFmtId="0" xfId="0" applyAlignment="1" applyBorder="1" applyFont="1">
      <alignment vertical="bottom"/>
    </xf>
    <xf borderId="34" fillId="4" fontId="9" numFmtId="0" xfId="0" applyAlignment="1" applyBorder="1" applyFont="1">
      <alignment horizontal="right" vertical="bottom"/>
    </xf>
    <xf borderId="12" fillId="4" fontId="37" numFmtId="0" xfId="0" applyAlignment="1" applyBorder="1" applyFont="1">
      <alignment horizontal="center" readingOrder="0" shrinkToFit="0" wrapText="1"/>
    </xf>
    <xf borderId="12" fillId="4" fontId="38" numFmtId="0" xfId="0" applyAlignment="1" applyBorder="1" applyFont="1">
      <alignment horizontal="center" readingOrder="0" shrinkToFit="0" wrapText="1"/>
    </xf>
    <xf borderId="12" fillId="4" fontId="32" numFmtId="0" xfId="0" applyAlignment="1" applyBorder="1" applyFont="1">
      <alignment horizontal="center" readingOrder="0" shrinkToFit="0" vertical="bottom" wrapText="0"/>
    </xf>
    <xf borderId="12" fillId="4" fontId="39" numFmtId="0" xfId="0" applyAlignment="1" applyBorder="1" applyFont="1">
      <alignment horizontal="center" readingOrder="0" shrinkToFit="0" vertical="center" wrapText="1"/>
    </xf>
    <xf borderId="0" fillId="4" fontId="39" numFmtId="0" xfId="0" applyAlignment="1" applyFont="1">
      <alignment horizontal="center" readingOrder="0" shrinkToFit="0" vertical="center" wrapText="1"/>
    </xf>
    <xf borderId="4" fillId="2" fontId="9" numFmtId="0" xfId="0" applyAlignment="1" applyBorder="1" applyFont="1">
      <alignment horizontal="center" readingOrder="0" vertical="center"/>
    </xf>
    <xf borderId="34" fillId="8" fontId="9" numFmtId="0" xfId="0" applyAlignment="1" applyBorder="1" applyFill="1" applyFont="1">
      <alignment horizontal="center" readingOrder="0" vertical="bottom"/>
    </xf>
    <xf borderId="34" fillId="0" fontId="9" numFmtId="0" xfId="0" applyAlignment="1" applyBorder="1" applyFont="1">
      <alignment horizontal="center" readingOrder="0"/>
    </xf>
    <xf borderId="34" fillId="0" fontId="9" numFmtId="49" xfId="0" applyAlignment="1" applyBorder="1" applyFont="1" applyNumberFormat="1">
      <alignment horizontal="center" readingOrder="0"/>
    </xf>
    <xf borderId="12" fillId="0" fontId="9" numFmtId="0" xfId="0" applyAlignment="1" applyBorder="1" applyFont="1">
      <alignment horizontal="center" readingOrder="0" shrinkToFit="0" wrapText="1"/>
    </xf>
    <xf borderId="12" fillId="0" fontId="32" numFmtId="0" xfId="0" applyAlignment="1" applyBorder="1" applyFont="1">
      <alignment horizontal="center" readingOrder="0" shrinkToFit="0" vertical="center" wrapText="1"/>
    </xf>
    <xf borderId="34" fillId="9" fontId="9" numFmtId="0" xfId="0" applyAlignment="1" applyBorder="1" applyFill="1" applyFont="1">
      <alignment horizontal="center" readingOrder="0" vertical="bottom"/>
    </xf>
    <xf borderId="34" fillId="0" fontId="9" numFmtId="49" xfId="0" applyAlignment="1" applyBorder="1" applyFont="1" applyNumberFormat="1">
      <alignment horizontal="center"/>
    </xf>
    <xf borderId="34" fillId="0" fontId="9" numFmtId="49" xfId="0" applyAlignment="1" applyBorder="1" applyFont="1" applyNumberFormat="1">
      <alignment horizontal="center" readingOrder="0" vertical="center"/>
    </xf>
    <xf borderId="35" fillId="0" fontId="9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readingOrder="0" shrinkToFit="0" vertical="center" wrapText="1"/>
    </xf>
    <xf borderId="34" fillId="2" fontId="9" numFmtId="0" xfId="0" applyAlignment="1" applyBorder="1" applyFont="1">
      <alignment horizontal="center" readingOrder="0"/>
    </xf>
    <xf borderId="12" fillId="0" fontId="12" numFmtId="0" xfId="0" applyAlignment="1" applyBorder="1" applyFont="1">
      <alignment horizontal="center" readingOrder="0" vertical="bottom"/>
    </xf>
    <xf borderId="34" fillId="4" fontId="9" numFmtId="0" xfId="0" applyAlignment="1" applyBorder="1" applyFont="1">
      <alignment horizontal="center" readingOrder="0"/>
    </xf>
    <xf borderId="0" fillId="4" fontId="25" numFmtId="0" xfId="0" applyFont="1"/>
    <xf borderId="12" fillId="2" fontId="33" numFmtId="0" xfId="0" applyAlignment="1" applyBorder="1" applyFont="1">
      <alignment horizontal="center" readingOrder="0" shrinkToFit="0" vertical="center" wrapText="1"/>
    </xf>
    <xf borderId="34" fillId="2" fontId="9" numFmtId="49" xfId="0" applyAlignment="1" applyBorder="1" applyFont="1" applyNumberFormat="1">
      <alignment horizontal="center" readingOrder="0"/>
    </xf>
    <xf borderId="12" fillId="2" fontId="9" numFmtId="0" xfId="0" applyAlignment="1" applyBorder="1" applyFont="1">
      <alignment horizontal="center" readingOrder="0" shrinkToFit="0" vertical="center" wrapText="1"/>
    </xf>
    <xf borderId="0" fillId="7" fontId="9" numFmtId="0" xfId="0" applyAlignment="1" applyFont="1">
      <alignment horizontal="center" readingOrder="0" vertical="bottom"/>
    </xf>
    <xf borderId="34" fillId="7" fontId="9" numFmtId="0" xfId="0" applyAlignment="1" applyBorder="1" applyFont="1">
      <alignment horizontal="center" readingOrder="0" vertical="center"/>
    </xf>
    <xf borderId="34" fillId="7" fontId="9" numFmtId="0" xfId="0" applyAlignment="1" applyBorder="1" applyFont="1">
      <alignment horizontal="left" readingOrder="0" shrinkToFit="0" vertical="bottom" wrapText="1"/>
    </xf>
    <xf borderId="34" fillId="7" fontId="9" numFmtId="0" xfId="0" applyAlignment="1" applyBorder="1" applyFont="1">
      <alignment horizontal="center" readingOrder="0" vertical="bottom"/>
    </xf>
    <xf borderId="34" fillId="7" fontId="9" numFmtId="0" xfId="0" applyAlignment="1" applyBorder="1" applyFont="1">
      <alignment horizontal="center" readingOrder="0"/>
    </xf>
    <xf borderId="34" fillId="7" fontId="9" numFmtId="49" xfId="0" applyAlignment="1" applyBorder="1" applyFont="1" applyNumberFormat="1">
      <alignment horizontal="center" readingOrder="0"/>
    </xf>
    <xf borderId="35" fillId="7" fontId="9" numFmtId="0" xfId="0" applyAlignment="1" applyBorder="1" applyFont="1">
      <alignment horizontal="center" readingOrder="0"/>
    </xf>
    <xf borderId="12" fillId="7" fontId="9" numFmtId="0" xfId="0" applyAlignment="1" applyBorder="1" applyFont="1">
      <alignment horizontal="center" readingOrder="0" shrinkToFit="0" wrapText="1"/>
    </xf>
    <xf borderId="12" fillId="7" fontId="9" numFmtId="0" xfId="0" applyAlignment="1" applyBorder="1" applyFont="1">
      <alignment horizontal="center" readingOrder="0" shrinkToFit="0" vertical="center" wrapText="1"/>
    </xf>
    <xf borderId="34" fillId="9" fontId="9" numFmtId="0" xfId="0" applyAlignment="1" applyBorder="1" applyFont="1">
      <alignment horizontal="center" readingOrder="0" vertical="center"/>
    </xf>
    <xf borderId="34" fillId="2" fontId="9" numFmtId="0" xfId="0" applyAlignment="1" applyBorder="1" applyFont="1">
      <alignment horizontal="left" readingOrder="0" shrinkToFit="0" vertical="center" wrapText="1"/>
    </xf>
    <xf borderId="34" fillId="2" fontId="9" numFmtId="0" xfId="0" applyAlignment="1" applyBorder="1" applyFont="1">
      <alignment horizontal="center" readingOrder="0" vertical="center"/>
    </xf>
    <xf borderId="35" fillId="2" fontId="9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center" vertical="center"/>
    </xf>
    <xf borderId="12" fillId="2" fontId="32" numFmtId="0" xfId="0" applyAlignment="1" applyBorder="1" applyFont="1">
      <alignment horizontal="center" readingOrder="0" shrinkToFit="0" vertical="center" wrapText="1"/>
    </xf>
    <xf borderId="0" fillId="2" fontId="32" numFmtId="0" xfId="0" applyAlignment="1" applyFont="1">
      <alignment horizontal="center" readingOrder="0" vertical="center"/>
    </xf>
    <xf borderId="34" fillId="2" fontId="32" numFmtId="0" xfId="0" applyAlignment="1" applyBorder="1" applyFont="1">
      <alignment horizontal="center" readingOrder="0" vertical="bottom"/>
    </xf>
    <xf borderId="34" fillId="9" fontId="32" numFmtId="0" xfId="0" applyAlignment="1" applyBorder="1" applyFont="1">
      <alignment horizontal="center" readingOrder="0" vertical="center"/>
    </xf>
    <xf borderId="34" fillId="2" fontId="32" numFmtId="0" xfId="0" applyAlignment="1" applyBorder="1" applyFont="1">
      <alignment horizontal="left" readingOrder="0" shrinkToFit="0" vertical="center" wrapText="1"/>
    </xf>
    <xf borderId="34" fillId="2" fontId="32" numFmtId="0" xfId="0" applyAlignment="1" applyBorder="1" applyFont="1">
      <alignment horizontal="center" readingOrder="0" vertical="center"/>
    </xf>
    <xf borderId="34" fillId="2" fontId="32" numFmtId="49" xfId="0" applyAlignment="1" applyBorder="1" applyFont="1" applyNumberFormat="1">
      <alignment horizontal="center" readingOrder="0" vertical="center"/>
    </xf>
    <xf borderId="35" fillId="2" fontId="32" numFmtId="0" xfId="0" applyAlignment="1" applyBorder="1" applyFont="1">
      <alignment horizontal="center" readingOrder="0" vertical="center"/>
    </xf>
    <xf borderId="12" fillId="0" fontId="32" numFmtId="0" xfId="0" applyAlignment="1" applyBorder="1" applyFont="1">
      <alignment horizontal="center" readingOrder="0" shrinkToFit="0" vertical="bottom" wrapText="1"/>
    </xf>
    <xf borderId="12" fillId="0" fontId="9" numFmtId="0" xfId="0" applyAlignment="1" applyBorder="1" applyFont="1">
      <alignment horizontal="center" vertical="bottom"/>
    </xf>
    <xf borderId="34" fillId="8" fontId="9" numFmtId="0" xfId="0" applyAlignment="1" applyBorder="1" applyFont="1">
      <alignment horizontal="center" readingOrder="0" vertical="center"/>
    </xf>
    <xf borderId="12" fillId="0" fontId="33" numFmtId="0" xfId="0" applyAlignment="1" applyBorder="1" applyFont="1">
      <alignment horizontal="center" readingOrder="0" shrinkToFit="0" vertical="center" wrapText="1"/>
    </xf>
    <xf borderId="34" fillId="7" fontId="9" numFmtId="0" xfId="0" applyAlignment="1" applyBorder="1" applyFont="1">
      <alignment horizontal="left" readingOrder="0" vertical="bottom"/>
    </xf>
    <xf borderId="12" fillId="7" fontId="9" numFmtId="0" xfId="0" applyAlignment="1" applyBorder="1" applyFont="1">
      <alignment horizontal="center" readingOrder="0"/>
    </xf>
    <xf borderId="12" fillId="7" fontId="9" numFmtId="0" xfId="0" applyAlignment="1" applyBorder="1" applyFont="1">
      <alignment horizontal="center" vertical="bottom"/>
    </xf>
    <xf borderId="0" fillId="4" fontId="40" numFmtId="0" xfId="0" applyAlignment="1" applyFont="1">
      <alignment horizontal="center" readingOrder="0"/>
    </xf>
    <xf borderId="12" fillId="0" fontId="9" numFmtId="0" xfId="0" applyAlignment="1" applyBorder="1" applyFont="1">
      <alignment vertical="bottom"/>
    </xf>
    <xf borderId="12" fillId="0" fontId="9" numFmtId="0" xfId="0" applyAlignment="1" applyBorder="1" applyFont="1">
      <alignment horizontal="center" readingOrder="0" vertical="bottom"/>
    </xf>
    <xf borderId="0" fillId="7" fontId="40" numFmtId="0" xfId="0" applyAlignment="1" applyFont="1">
      <alignment horizontal="center" readingOrder="0"/>
    </xf>
    <xf borderId="12" fillId="7" fontId="9" numFmtId="0" xfId="0" applyAlignment="1" applyBorder="1" applyFont="1">
      <alignment vertical="bottom"/>
    </xf>
    <xf borderId="12" fillId="7" fontId="9" numFmtId="0" xfId="0" applyAlignment="1" applyBorder="1" applyFont="1">
      <alignment horizontal="center" readingOrder="0" vertical="bottom"/>
    </xf>
    <xf borderId="12" fillId="2" fontId="41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center" vertical="center"/>
    </xf>
    <xf borderId="12" fillId="0" fontId="9" numFmtId="0" xfId="0" applyAlignment="1" applyBorder="1" applyFont="1">
      <alignment horizontal="center" readingOrder="0"/>
    </xf>
    <xf borderId="12" fillId="7" fontId="9" numFmtId="0" xfId="0" applyAlignment="1" applyBorder="1" applyFont="1">
      <alignment horizontal="center" readingOrder="0"/>
    </xf>
    <xf borderId="34" fillId="5" fontId="9" numFmtId="0" xfId="0" applyAlignment="1" applyBorder="1" applyFont="1">
      <alignment horizontal="center" readingOrder="0" vertical="bottom"/>
    </xf>
    <xf borderId="34" fillId="5" fontId="9" numFmtId="0" xfId="0" applyAlignment="1" applyBorder="1" applyFont="1">
      <alignment horizontal="center" readingOrder="0"/>
    </xf>
    <xf borderId="34" fillId="2" fontId="9" numFmtId="0" xfId="0" applyAlignment="1" applyBorder="1" applyFont="1">
      <alignment horizontal="left" readingOrder="0" vertical="center"/>
    </xf>
    <xf borderId="12" fillId="4" fontId="32" numFmtId="0" xfId="0" applyAlignment="1" applyBorder="1" applyFont="1">
      <alignment horizontal="center" readingOrder="0" vertical="bottom"/>
    </xf>
    <xf borderId="12" fillId="0" fontId="42" numFmtId="0" xfId="0" applyAlignment="1" applyBorder="1" applyFont="1">
      <alignment horizontal="center" readingOrder="0" vertical="center"/>
    </xf>
    <xf borderId="12" fillId="7" fontId="33" numFmtId="0" xfId="0" applyAlignment="1" applyBorder="1" applyFont="1">
      <alignment horizontal="center" readingOrder="0" shrinkToFit="0" vertical="center" wrapText="1"/>
    </xf>
    <xf borderId="12" fillId="2" fontId="43" numFmtId="0" xfId="0" applyAlignment="1" applyBorder="1" applyFont="1">
      <alignment horizontal="center" readingOrder="0" shrinkToFit="0" wrapText="1"/>
    </xf>
    <xf borderId="12" fillId="0" fontId="9" numFmtId="0" xfId="0" applyAlignment="1" applyBorder="1" applyFont="1">
      <alignment horizontal="center" readingOrder="0" shrinkToFit="0" wrapText="1"/>
    </xf>
    <xf borderId="12" fillId="0" fontId="9" numFmtId="0" xfId="0" applyAlignment="1" applyBorder="1" applyFont="1">
      <alignment horizontal="center" shrinkToFit="0" vertical="bottom" wrapText="1"/>
    </xf>
    <xf borderId="12" fillId="0" fontId="9" numFmtId="0" xfId="0" applyAlignment="1" applyBorder="1" applyFont="1">
      <alignment readingOrder="0" vertical="bottom"/>
    </xf>
    <xf borderId="12" fillId="7" fontId="9" numFmtId="0" xfId="0" applyAlignment="1" applyBorder="1" applyFont="1">
      <alignment horizontal="center" readingOrder="0" shrinkToFit="0" wrapText="1"/>
    </xf>
    <xf borderId="12" fillId="7" fontId="32" numFmtId="0" xfId="0" applyAlignment="1" applyBorder="1" applyFont="1">
      <alignment horizontal="center" readingOrder="0" shrinkToFit="0" vertical="center" wrapText="1"/>
    </xf>
    <xf borderId="0" fillId="0" fontId="44" numFmtId="0" xfId="0" applyAlignment="1" applyFont="1">
      <alignment readingOrder="0"/>
    </xf>
    <xf borderId="12" fillId="2" fontId="32" numFmtId="0" xfId="0" applyAlignment="1" applyBorder="1" applyFont="1">
      <alignment horizontal="center" readingOrder="0" shrinkToFit="0" vertical="center" wrapText="1"/>
    </xf>
    <xf borderId="0" fillId="7" fontId="9" numFmtId="0" xfId="0" applyAlignment="1" applyFont="1">
      <alignment horizontal="center" readingOrder="0" vertical="center"/>
    </xf>
    <xf borderId="34" fillId="7" fontId="9" numFmtId="0" xfId="0" applyAlignment="1" applyBorder="1" applyFont="1">
      <alignment horizontal="left" readingOrder="0" shrinkToFit="0" vertical="center" wrapText="1"/>
    </xf>
    <xf borderId="34" fillId="7" fontId="9" numFmtId="49" xfId="0" applyAlignment="1" applyBorder="1" applyFont="1" applyNumberFormat="1">
      <alignment horizontal="center" readingOrder="0" vertical="center"/>
    </xf>
    <xf borderId="35" fillId="7" fontId="9" numFmtId="0" xfId="0" applyAlignment="1" applyBorder="1" applyFont="1">
      <alignment horizontal="center" readingOrder="0" vertical="center"/>
    </xf>
    <xf borderId="12" fillId="2" fontId="9" numFmtId="0" xfId="0" applyAlignment="1" applyBorder="1" applyFont="1">
      <alignment horizontal="center" readingOrder="0" shrinkToFit="0" wrapText="1"/>
    </xf>
    <xf borderId="12" fillId="7" fontId="9" numFmtId="0" xfId="0" applyAlignment="1" applyBorder="1" applyFont="1">
      <alignment horizontal="center" shrinkToFit="0" wrapText="1"/>
    </xf>
    <xf borderId="12" fillId="7" fontId="45" numFmtId="0" xfId="0" applyAlignment="1" applyBorder="1" applyFont="1">
      <alignment horizontal="center" readingOrder="0"/>
    </xf>
    <xf borderId="12" fillId="7" fontId="32" numFmtId="0" xfId="0" applyAlignment="1" applyBorder="1" applyFont="1">
      <alignment horizontal="center" readingOrder="0"/>
    </xf>
    <xf borderId="35" fillId="5" fontId="9" numFmtId="0" xfId="0" applyAlignment="1" applyBorder="1" applyFont="1">
      <alignment horizontal="center" readingOrder="0"/>
    </xf>
    <xf borderId="12" fillId="2" fontId="46" numFmtId="0" xfId="0" applyAlignment="1" applyBorder="1" applyFont="1">
      <alignment horizontal="center" readingOrder="0" shrinkToFit="0" wrapText="1"/>
    </xf>
    <xf borderId="34" fillId="9" fontId="34" numFmtId="0" xfId="0" applyAlignment="1" applyBorder="1" applyFont="1">
      <alignment horizontal="center" readingOrder="0" vertical="center"/>
    </xf>
    <xf borderId="12" fillId="0" fontId="47" numFmtId="0" xfId="0" applyAlignment="1" applyBorder="1" applyFont="1">
      <alignment horizontal="center" readingOrder="0" shrinkToFit="0" wrapText="1"/>
    </xf>
    <xf borderId="12" fillId="0" fontId="9" numFmtId="0" xfId="0" applyAlignment="1" applyBorder="1" applyFont="1">
      <alignment horizontal="center" vertical="bottom"/>
    </xf>
    <xf borderId="0" fillId="9" fontId="9" numFmtId="0" xfId="0" applyAlignment="1" applyFont="1">
      <alignment horizontal="center" readingOrder="0"/>
    </xf>
    <xf borderId="34" fillId="9" fontId="9" numFmtId="0" xfId="0" applyAlignment="1" applyBorder="1" applyFont="1">
      <alignment horizontal="left" readingOrder="0" shrinkToFit="0" vertical="bottom" wrapText="1"/>
    </xf>
    <xf borderId="34" fillId="9" fontId="9" numFmtId="0" xfId="0" applyAlignment="1" applyBorder="1" applyFont="1">
      <alignment horizontal="center" readingOrder="0"/>
    </xf>
    <xf borderId="34" fillId="9" fontId="9" numFmtId="49" xfId="0" applyAlignment="1" applyBorder="1" applyFont="1" applyNumberFormat="1">
      <alignment horizontal="center" readingOrder="0"/>
    </xf>
    <xf borderId="35" fillId="9" fontId="9" numFmtId="0" xfId="0" applyAlignment="1" applyBorder="1" applyFont="1">
      <alignment horizontal="center" readingOrder="0"/>
    </xf>
    <xf borderId="12" fillId="9" fontId="9" numFmtId="0" xfId="0" applyAlignment="1" applyBorder="1" applyFont="1">
      <alignment horizontal="center" readingOrder="0" shrinkToFit="0" wrapText="1"/>
    </xf>
    <xf borderId="12" fillId="9" fontId="9" numFmtId="0" xfId="0" applyAlignment="1" applyBorder="1" applyFont="1">
      <alignment horizontal="center" readingOrder="0" shrinkToFit="0" vertical="center" wrapText="1"/>
    </xf>
    <xf borderId="12" fillId="7" fontId="9" numFmtId="0" xfId="0" applyAlignment="1" applyBorder="1" applyFont="1">
      <alignment horizontal="center" readingOrder="0"/>
    </xf>
    <xf borderId="34" fillId="2" fontId="9" numFmtId="49" xfId="0" applyAlignment="1" applyBorder="1" applyFont="1" applyNumberFormat="1">
      <alignment horizontal="center" readingOrder="0" vertical="center"/>
    </xf>
    <xf borderId="12" fillId="4" fontId="32" numFmtId="0" xfId="0" applyAlignment="1" applyBorder="1" applyFont="1">
      <alignment horizontal="center" readingOrder="0" vertical="center"/>
    </xf>
    <xf borderId="12" fillId="7" fontId="32" numFmtId="0" xfId="0" applyAlignment="1" applyBorder="1" applyFont="1">
      <alignment horizontal="center" readingOrder="0"/>
    </xf>
    <xf borderId="12" fillId="7" fontId="9" numFmtId="0" xfId="0" applyAlignment="1" applyBorder="1" applyFont="1">
      <alignment horizontal="center" readingOrder="0" vertical="center"/>
    </xf>
    <xf borderId="12" fillId="7" fontId="9" numFmtId="0" xfId="0" applyAlignment="1" applyBorder="1" applyFont="1">
      <alignment horizontal="center" vertical="center"/>
    </xf>
    <xf borderId="34" fillId="0" fontId="9" numFmtId="0" xfId="0" applyAlignment="1" applyBorder="1" applyFont="1">
      <alignment readingOrder="0"/>
    </xf>
    <xf borderId="12" fillId="4" fontId="48" numFmtId="0" xfId="0" applyAlignment="1" applyBorder="1" applyFont="1">
      <alignment horizontal="center" readingOrder="0" shrinkToFit="0" wrapText="1"/>
    </xf>
    <xf borderId="34" fillId="4" fontId="33" numFmtId="0" xfId="0" applyAlignment="1" applyBorder="1" applyFont="1">
      <alignment horizontal="center" readingOrder="0"/>
    </xf>
    <xf borderId="12" fillId="0" fontId="33" numFmtId="0" xfId="0" applyAlignment="1" applyBorder="1" applyFont="1">
      <alignment horizontal="center" readingOrder="0" shrinkToFit="0" wrapText="1"/>
    </xf>
    <xf borderId="12" fillId="4" fontId="32" numFmtId="0" xfId="0" applyAlignment="1" applyBorder="1" applyFont="1">
      <alignment horizontal="center" readingOrder="0"/>
    </xf>
    <xf borderId="12" fillId="2" fontId="49" numFmtId="0" xfId="0" applyAlignment="1" applyBorder="1" applyFont="1">
      <alignment horizontal="center" readingOrder="0" shrinkToFit="0" vertical="center" wrapText="1"/>
    </xf>
    <xf borderId="12" fillId="0" fontId="32" numFmtId="0" xfId="0" applyAlignment="1" applyBorder="1" applyFont="1">
      <alignment horizontal="center" readingOrder="0"/>
    </xf>
    <xf borderId="12" fillId="7" fontId="32" numFmtId="0" xfId="0" applyAlignment="1" applyBorder="1" applyFont="1">
      <alignment horizontal="center" readingOrder="0" shrinkToFit="0" vertical="bottom" wrapText="1"/>
    </xf>
    <xf borderId="34" fillId="0" fontId="9" numFmtId="0" xfId="0" applyAlignment="1" applyBorder="1" applyFont="1">
      <alignment readingOrder="0" vertical="bottom"/>
    </xf>
    <xf borderId="12" fillId="2" fontId="9" numFmtId="0" xfId="0" applyAlignment="1" applyBorder="1" applyFont="1">
      <alignment horizontal="center" readingOrder="0" shrinkToFit="0" wrapText="1"/>
    </xf>
    <xf borderId="12" fillId="0" fontId="50" numFmtId="0" xfId="0" applyAlignment="1" applyBorder="1" applyFont="1">
      <alignment horizontal="center" readingOrder="0" shrinkToFit="0" wrapText="1"/>
    </xf>
    <xf borderId="12" fillId="10" fontId="9" numFmtId="0" xfId="0" applyAlignment="1" applyBorder="1" applyFill="1" applyFont="1">
      <alignment horizontal="center" readingOrder="0" shrinkToFit="0" wrapText="1"/>
    </xf>
    <xf borderId="12" fillId="0" fontId="9" numFmtId="0" xfId="0" applyAlignment="1" applyBorder="1" applyFont="1">
      <alignment readingOrder="0"/>
    </xf>
    <xf borderId="34" fillId="0" fontId="32" numFmtId="0" xfId="0" applyAlignment="1" applyBorder="1" applyFont="1">
      <alignment horizontal="center" readingOrder="0" vertical="bottom"/>
    </xf>
    <xf borderId="0" fillId="7" fontId="2" numFmtId="0" xfId="0" applyFont="1"/>
    <xf borderId="34" fillId="7" fontId="9" numFmtId="0" xfId="0" applyAlignment="1" applyBorder="1" applyFont="1">
      <alignment horizontal="left" readingOrder="0" vertical="center"/>
    </xf>
    <xf borderId="12" fillId="0" fontId="38" numFmtId="0" xfId="0" applyAlignment="1" applyBorder="1" applyFont="1">
      <alignment horizontal="center" readingOrder="0" shrinkToFit="0" wrapText="1"/>
    </xf>
    <xf borderId="0" fillId="4" fontId="32" numFmtId="0" xfId="0" applyAlignment="1" applyFont="1">
      <alignment horizontal="center" readingOrder="0"/>
    </xf>
    <xf borderId="12" fillId="0" fontId="32" numFmtId="0" xfId="0" applyAlignment="1" applyBorder="1" applyFont="1">
      <alignment horizontal="center" readingOrder="0" shrinkToFit="0" vertical="bottom" wrapText="0"/>
    </xf>
    <xf borderId="12" fillId="0" fontId="32" numFmtId="0" xfId="0" applyAlignment="1" applyBorder="1" applyFont="1">
      <alignment horizontal="center" readingOrder="0"/>
    </xf>
    <xf borderId="34" fillId="7" fontId="34" numFmtId="0" xfId="0" applyAlignment="1" applyBorder="1" applyFont="1">
      <alignment horizontal="center" readingOrder="0" vertical="bottom"/>
    </xf>
    <xf borderId="12" fillId="4" fontId="51" numFmtId="0" xfId="0" applyAlignment="1" applyBorder="1" applyFont="1">
      <alignment horizontal="center" readingOrder="0" shrinkToFit="0" vertical="center" wrapText="1"/>
    </xf>
    <xf borderId="34" fillId="7" fontId="9" numFmtId="49" xfId="0" applyAlignment="1" applyBorder="1" applyFont="1" applyNumberFormat="1">
      <alignment horizontal="center" vertical="bottom"/>
    </xf>
    <xf borderId="12" fillId="7" fontId="9" numFmtId="0" xfId="0" applyAlignment="1" applyBorder="1" applyFont="1">
      <alignment horizontal="center" shrinkToFit="0" vertical="bottom" wrapText="1"/>
    </xf>
    <xf borderId="0" fillId="0" fontId="36" numFmtId="0" xfId="0" applyAlignment="1" applyFont="1">
      <alignment horizontal="center" readingOrder="0" vertical="bottom"/>
    </xf>
    <xf borderId="0" fillId="2" fontId="36" numFmtId="0" xfId="0" applyAlignment="1" applyFont="1">
      <alignment horizontal="left" readingOrder="0" shrinkToFit="0" vertical="bottom" wrapText="1"/>
    </xf>
    <xf borderId="34" fillId="2" fontId="36" numFmtId="0" xfId="0" applyAlignment="1" applyBorder="1" applyFont="1">
      <alignment horizontal="center" readingOrder="0" vertical="bottom"/>
    </xf>
    <xf borderId="0" fillId="2" fontId="36" numFmtId="0" xfId="0" applyAlignment="1" applyFont="1">
      <alignment horizontal="center" readingOrder="0"/>
    </xf>
    <xf borderId="0" fillId="2" fontId="36" numFmtId="49" xfId="0" applyAlignment="1" applyFont="1" applyNumberFormat="1">
      <alignment horizontal="center" readingOrder="0"/>
    </xf>
    <xf borderId="12" fillId="2" fontId="36" numFmtId="0" xfId="0" applyAlignment="1" applyBorder="1" applyFont="1">
      <alignment horizontal="center" readingOrder="0" shrinkToFit="0" wrapText="1"/>
    </xf>
    <xf borderId="0" fillId="2" fontId="36" numFmtId="0" xfId="0" applyAlignment="1" applyFont="1">
      <alignment horizontal="center" readingOrder="0" shrinkToFit="0" wrapText="1"/>
    </xf>
    <xf borderId="0" fillId="0" fontId="36" numFmtId="0" xfId="0" applyAlignment="1" applyFont="1">
      <alignment horizontal="center" readingOrder="0" shrinkToFit="0" wrapText="1"/>
    </xf>
    <xf borderId="12" fillId="2" fontId="36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left" readingOrder="0" shrinkToFit="0" vertical="bottom" wrapText="1"/>
    </xf>
    <xf borderId="0" fillId="2" fontId="9" numFmtId="49" xfId="0" applyAlignment="1" applyFont="1" applyNumberFormat="1">
      <alignment horizontal="center" readingOrder="0"/>
    </xf>
    <xf borderId="0" fillId="2" fontId="9" numFmtId="0" xfId="0" applyAlignment="1" applyFont="1">
      <alignment horizontal="center" readingOrder="0" shrinkToFit="0" wrapText="1"/>
    </xf>
    <xf borderId="0" fillId="4" fontId="2" numFmtId="0" xfId="0" applyFont="1"/>
    <xf borderId="0" fillId="4" fontId="9" numFmtId="0" xfId="0" applyAlignment="1" applyFont="1">
      <alignment horizontal="center"/>
    </xf>
    <xf borderId="0" fillId="4" fontId="9" numFmtId="0" xfId="0" applyAlignment="1" applyFont="1">
      <alignment horizontal="center" vertical="bottom"/>
    </xf>
    <xf borderId="5" fillId="3" fontId="3" numFmtId="0" xfId="0" applyAlignment="1" applyBorder="1" applyFont="1">
      <alignment horizontal="left" readingOrder="0" vertical="center"/>
    </xf>
    <xf borderId="0" fillId="0" fontId="2" numFmtId="165" xfId="0" applyAlignment="1" applyFont="1" applyNumberForma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166" xfId="0" applyAlignment="1" applyFont="1" applyNumberFormat="1">
      <alignment readingOrder="0"/>
    </xf>
    <xf borderId="0" fillId="11" fontId="52" numFmtId="0" xfId="0" applyAlignment="1" applyFill="1" applyFont="1">
      <alignment horizontal="center" shrinkToFit="0" vertical="center" wrapText="1"/>
    </xf>
    <xf borderId="0" fillId="11" fontId="52" numFmtId="49" xfId="0" applyAlignment="1" applyFont="1" applyNumberFormat="1">
      <alignment horizontal="center" shrinkToFit="0" vertical="center" wrapText="1"/>
    </xf>
    <xf borderId="0" fillId="11" fontId="52" numFmtId="49" xfId="0" applyAlignment="1" applyFont="1" applyNumberFormat="1">
      <alignment horizontal="center" readingOrder="0" shrinkToFit="0" vertical="center" wrapText="1"/>
    </xf>
    <xf borderId="0" fillId="0" fontId="28" numFmtId="49" xfId="0" applyAlignment="1" applyFont="1" applyNumberFormat="1">
      <alignment horizontal="left" readingOrder="0" shrinkToFit="0" vertical="center" wrapText="1"/>
    </xf>
    <xf borderId="0" fillId="0" fontId="28" numFmtId="0" xfId="0" applyAlignment="1" applyFont="1">
      <alignment horizontal="center" shrinkToFit="0" vertical="center" wrapText="1"/>
    </xf>
    <xf borderId="0" fillId="0" fontId="28" numFmtId="49" xfId="0" applyAlignment="1" applyFont="1" applyNumberFormat="1">
      <alignment horizontal="center" shrinkToFit="0" vertical="center" wrapText="1"/>
    </xf>
    <xf borderId="0" fillId="0" fontId="28" numFmtId="49" xfId="0" applyAlignment="1" applyFont="1" applyNumberFormat="1">
      <alignment horizontal="left" shrinkToFit="0" vertical="center" wrapText="1"/>
    </xf>
    <xf borderId="0" fillId="0" fontId="53" numFmtId="0" xfId="0" applyAlignment="1" applyFont="1">
      <alignment horizontal="center" readingOrder="0" shrinkToFit="0" vertical="bottom" wrapText="0"/>
    </xf>
    <xf borderId="0" fillId="12" fontId="54" numFmtId="0" xfId="0" applyAlignment="1" applyFill="1" applyFont="1">
      <alignment horizontal="center" readingOrder="0" shrinkToFit="0" vertical="bottom" wrapText="0"/>
    </xf>
    <xf borderId="0" fillId="12" fontId="54" numFmtId="0" xfId="0" applyAlignment="1" applyFont="1">
      <alignment readingOrder="0" shrinkToFit="0" vertical="bottom" wrapText="0"/>
    </xf>
    <xf borderId="0" fillId="12" fontId="54" numFmtId="0" xfId="0" applyAlignment="1" applyFont="1">
      <alignment horizontal="right" readingOrder="0" shrinkToFit="0" vertical="bottom" wrapText="0"/>
    </xf>
    <xf borderId="0" fillId="0" fontId="13" numFmtId="0" xfId="0" applyAlignment="1" applyFont="1">
      <alignment readingOrder="0" shrinkToFit="0" vertical="bottom" wrapText="0"/>
    </xf>
    <xf borderId="0" fillId="0" fontId="13" numFmtId="0" xfId="0" applyAlignment="1" applyFont="1">
      <alignment horizontal="right" readingOrder="0"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FFF2CC"/>
          <bgColor rgb="FFFFF2CC"/>
        </patternFill>
      </fill>
      <border/>
    </dxf>
    <dxf>
      <font>
        <color rgb="FF000000"/>
      </font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pivotCacheDefinition" Target="pivotCache/pivotCacheDefinition1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0</xdr:colOff>
      <xdr:row>0</xdr:row>
      <xdr:rowOff>28575</xdr:rowOff>
    </xdr:from>
    <xdr:ext cx="523875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1857375</xdr:colOff>
      <xdr:row>0</xdr:row>
      <xdr:rowOff>76200</xdr:rowOff>
    </xdr:from>
    <xdr:ext cx="581025" cy="495300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142875</xdr:colOff>
      <xdr:row>0</xdr:row>
      <xdr:rowOff>28575</xdr:rowOff>
    </xdr:from>
    <xdr:ext cx="523875" cy="4953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209550</xdr:colOff>
      <xdr:row>0</xdr:row>
      <xdr:rowOff>76200</xdr:rowOff>
    </xdr:from>
    <xdr:ext cx="581025" cy="495300"/>
    <xdr:pic>
      <xdr:nvPicPr>
        <xdr:cNvPr id="0" name="image2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F8:S19" sheet="Elligible Training Institutes R"/>
  </cacheSource>
  <cacheFields>
    <cacheField name="District" numFmtId="0">
      <sharedItems containsString="0" containsBlank="1">
        <m/>
      </sharedItems>
    </cacheField>
    <cacheField name="Sector" numFmtId="0">
      <sharedItems containsString="0" containsBlank="1">
        <m/>
      </sharedItems>
    </cacheField>
    <cacheField name="Responded" numFmtId="0">
      <sharedItems>
        <s v="Yes"/>
      </sharedItems>
    </cacheField>
    <cacheField name="Tech PoC Name" numFmtId="0">
      <sharedItems containsString="0" containsBlank="1">
        <m/>
      </sharedItems>
    </cacheField>
    <cacheField name="tech poc name2" numFmtId="0">
      <sharedItems containsString="0" containsBlank="1">
        <m/>
      </sharedItems>
    </cacheField>
    <cacheField name="Date" numFmtId="0">
      <sharedItems containsString="0" containsBlank="1">
        <m/>
      </sharedItems>
    </cacheField>
    <cacheField name="Verified (Y/N)" numFmtId="0">
      <sharedItems>
        <s v="Yes"/>
      </sharedItems>
    </cacheField>
    <cacheField name="DVR\NVR Brand" numFmtId="0">
      <sharedItems containsString="0" containsBlank="1">
        <m/>
      </sharedItems>
    </cacheField>
    <cacheField name="Static IP" numFmtId="0">
      <sharedItems containsString="0" containsBlank="1">
        <m/>
      </sharedItems>
    </cacheField>
    <cacheField name="Port Number" numFmtId="0">
      <sharedItems containsString="0" containsBlank="1">
        <m/>
      </sharedItems>
    </cacheField>
    <cacheField name="User Name" numFmtId="0">
      <sharedItems containsString="0" containsBlank="1">
        <m/>
      </sharedItems>
    </cacheField>
    <cacheField name="Password" numFmtId="0">
      <sharedItems containsString="0" containsBlank="1">
        <m/>
      </sharedItems>
    </cacheField>
    <cacheField name="Remarks" numFmtId="0">
      <sharedItems>
        <s v="VERIFIED"/>
      </sharedItems>
    </cacheField>
    <cacheField name="No. of Students" numFmtId="0">
      <sharedItems containsSemiMixedTypes="0" containsString="0" containsNumber="1" containsInteger="1">
        <n v="0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4:B6" firstHeaderRow="0" firstDataRow="1" firstDataCol="1" rowPageCount="1" colPageCount="1"/>
  <pivotFields>
    <pivotField name="District" axis="axisRow" compact="0" outline="0" multipleItemSelectionAllowed="1" showAll="0" sortType="ascending">
      <items>
        <item x="0"/>
        <item t="default"/>
      </items>
    </pivotField>
    <pivotField name="Sector" axis="axisPage" compact="0" outline="0" multipleItemSelectionAllowed="1" showAll="0">
      <items>
        <item h="1" x="0"/>
        <item t="default"/>
      </items>
    </pivotField>
    <pivotField name="Responded" compact="0" outline="0" multipleItemSelectionAllowed="1" showAll="0">
      <items>
        <item x="0"/>
        <item t="default"/>
      </items>
    </pivotField>
    <pivotField name="Tech PoC Name" compact="0" outline="0" multipleItemSelectionAllowed="1" showAll="0">
      <items>
        <item x="0"/>
        <item t="default"/>
      </items>
    </pivotField>
    <pivotField name="tech poc name2" compact="0" outline="0" multipleItemSelectionAllowed="1" showAll="0">
      <items>
        <item x="0"/>
        <item t="default"/>
      </items>
    </pivotField>
    <pivotField name="Date" compact="0" outline="0" multipleItemSelectionAllowed="1" showAll="0">
      <items>
        <item x="0"/>
        <item t="default"/>
      </items>
    </pivotField>
    <pivotField name="Verified (Y/N)" axis="axisCol" compact="0" outline="0" multipleItemSelectionAllowed="1" showAll="0" sortType="ascending">
      <items>
        <item x="0"/>
        <item t="default"/>
      </items>
    </pivotField>
    <pivotField name="DVR\NVR Brand" compact="0" outline="0" multipleItemSelectionAllowed="1" showAll="0">
      <items>
        <item x="0"/>
        <item t="default"/>
      </items>
    </pivotField>
    <pivotField name="Static IP" compact="0" outline="0" multipleItemSelectionAllowed="1" showAll="0">
      <items>
        <item x="0"/>
        <item t="default"/>
      </items>
    </pivotField>
    <pivotField name="Port Number" compact="0" outline="0" multipleItemSelectionAllowed="1" showAll="0">
      <items>
        <item x="0"/>
        <item t="default"/>
      </items>
    </pivotField>
    <pivotField name="User Name" compact="0" outline="0" multipleItemSelectionAllowed="1" showAll="0">
      <items>
        <item x="0"/>
        <item t="default"/>
      </items>
    </pivotField>
    <pivotField name="Password" compact="0" outline="0" multipleItemSelectionAllowed="1" showAll="0">
      <items>
        <item x="0"/>
        <item t="default"/>
      </items>
    </pivotField>
    <pivotField name="Remarks" compact="0" outline="0" multipleItemSelectionAllowed="1" showAll="0">
      <items>
        <item x="0"/>
        <item t="default"/>
      </items>
    </pivotField>
    <pivotField name="No. of Students" dataField="1" compact="0" outline="0" multipleItemSelectionAllowed="1" showAll="0">
      <items>
        <item x="0"/>
        <item t="default"/>
      </items>
    </pivotField>
  </pivotFields>
  <rowFields>
    <field x="0"/>
  </rowFields>
  <colFields>
    <field x="6"/>
  </colFields>
  <pageFields>
    <pageField fld="1"/>
  </pageFields>
  <dataFields>
    <dataField name="SUM of No. of Students" fld="13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103.61.75.170/" TargetMode="External"/><Relationship Id="rId2" Type="http://schemas.openxmlformats.org/officeDocument/2006/relationships/hyperlink" Target="http://117.247.233.194:81/" TargetMode="External"/><Relationship Id="rId3" Type="http://schemas.openxmlformats.org/officeDocument/2006/relationships/hyperlink" Target="http://103.253.208.61/" TargetMode="External"/><Relationship Id="rId4" Type="http://schemas.openxmlformats.org/officeDocument/2006/relationships/hyperlink" Target="http://103.253.208.61/" TargetMode="External"/><Relationship Id="rId5" Type="http://schemas.openxmlformats.org/officeDocument/2006/relationships/hyperlink" Target="http://103.159.67.25/" TargetMode="External"/><Relationship Id="rId6" Type="http://schemas.openxmlformats.org/officeDocument/2006/relationships/hyperlink" Target="https://103.92.162.73:8800" TargetMode="External"/><Relationship Id="rId7" Type="http://schemas.openxmlformats.org/officeDocument/2006/relationships/hyperlink" Target="http://122.187.60.114/" TargetMode="External"/><Relationship Id="rId8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103.210.31.55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20" Type="http://schemas.openxmlformats.org/officeDocument/2006/relationships/hyperlink" Target="http://59.99.158.68:81/" TargetMode="External"/><Relationship Id="rId11" Type="http://schemas.openxmlformats.org/officeDocument/2006/relationships/hyperlink" Target="http://103.104.180.204:8888/" TargetMode="External"/><Relationship Id="rId22" Type="http://schemas.openxmlformats.org/officeDocument/2006/relationships/hyperlink" Target="http://103.240.163.242/" TargetMode="External"/><Relationship Id="rId10" Type="http://schemas.openxmlformats.org/officeDocument/2006/relationships/hyperlink" Target="http://103.163.166.55/" TargetMode="External"/><Relationship Id="rId21" Type="http://schemas.openxmlformats.org/officeDocument/2006/relationships/hyperlink" Target="http://103.163.66.38:8080/" TargetMode="External"/><Relationship Id="rId13" Type="http://schemas.openxmlformats.org/officeDocument/2006/relationships/hyperlink" Target="http://103.199.215.223:82/" TargetMode="External"/><Relationship Id="rId12" Type="http://schemas.openxmlformats.org/officeDocument/2006/relationships/hyperlink" Target="http://103.104.180.204:8888/" TargetMode="External"/><Relationship Id="rId23" Type="http://schemas.openxmlformats.org/officeDocument/2006/relationships/drawing" Target="../drawings/drawing11.xml"/><Relationship Id="rId1" Type="http://schemas.openxmlformats.org/officeDocument/2006/relationships/hyperlink" Target="http://117.247.233.213/" TargetMode="External"/><Relationship Id="rId2" Type="http://schemas.openxmlformats.org/officeDocument/2006/relationships/hyperlink" Target="http://103.61.75.170/" TargetMode="External"/><Relationship Id="rId3" Type="http://schemas.openxmlformats.org/officeDocument/2006/relationships/hyperlink" Target="http://117.247.233.194:81/" TargetMode="External"/><Relationship Id="rId4" Type="http://schemas.openxmlformats.org/officeDocument/2006/relationships/hyperlink" Target="http://103.89.56.189/" TargetMode="External"/><Relationship Id="rId9" Type="http://schemas.openxmlformats.org/officeDocument/2006/relationships/hyperlink" Target="http://103.155.209.4/" TargetMode="External"/><Relationship Id="rId15" Type="http://schemas.openxmlformats.org/officeDocument/2006/relationships/hyperlink" Target="http://103.121.205.147/" TargetMode="External"/><Relationship Id="rId14" Type="http://schemas.openxmlformats.org/officeDocument/2006/relationships/hyperlink" Target="http://103.210.31.55/" TargetMode="External"/><Relationship Id="rId17" Type="http://schemas.openxmlformats.org/officeDocument/2006/relationships/hyperlink" Target="http://103.94.115.46/" TargetMode="External"/><Relationship Id="rId16" Type="http://schemas.openxmlformats.org/officeDocument/2006/relationships/hyperlink" Target="http://14.139.238.133:86" TargetMode="External"/><Relationship Id="rId5" Type="http://schemas.openxmlformats.org/officeDocument/2006/relationships/hyperlink" Target="http://103.140.219.220/" TargetMode="External"/><Relationship Id="rId19" Type="http://schemas.openxmlformats.org/officeDocument/2006/relationships/hyperlink" Target="http://27.56.177.120:8081/" TargetMode="External"/><Relationship Id="rId6" Type="http://schemas.openxmlformats.org/officeDocument/2006/relationships/hyperlink" Target="http://103.253.208.61/" TargetMode="External"/><Relationship Id="rId18" Type="http://schemas.openxmlformats.org/officeDocument/2006/relationships/hyperlink" Target="http://122.187.237.185/" TargetMode="External"/><Relationship Id="rId7" Type="http://schemas.openxmlformats.org/officeDocument/2006/relationships/hyperlink" Target="http://103.159.67.25/" TargetMode="External"/><Relationship Id="rId8" Type="http://schemas.openxmlformats.org/officeDocument/2006/relationships/hyperlink" Target="https://103.92.162.73:8800/" TargetMode="Externa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1" width="13.63"/>
    <col customWidth="1" min="2" max="3" width="18.88"/>
    <col customWidth="1" min="4" max="4" width="65.25"/>
    <col customWidth="1" min="6" max="6" width="19.75"/>
    <col customWidth="1" min="7" max="7" width="19.0"/>
    <col hidden="1" min="8" max="8" width="12.63"/>
    <col customWidth="1" min="11" max="11" width="17.38"/>
    <col customWidth="1" min="12" max="12" width="26.0"/>
    <col customWidth="1" hidden="1" min="13" max="13" width="26.0"/>
    <col customWidth="1" min="14" max="14" width="18.25"/>
    <col customWidth="1" min="15" max="15" width="17.13"/>
    <col customWidth="1" min="16" max="16" width="22.88"/>
  </cols>
  <sheetData>
    <row r="1">
      <c r="A1" s="1"/>
      <c r="B1" s="1"/>
      <c r="C1" s="1"/>
      <c r="D1" s="2"/>
      <c r="E1" s="1"/>
      <c r="F1" s="1"/>
      <c r="G1" s="1"/>
      <c r="H1" s="3"/>
      <c r="I1" s="4"/>
      <c r="J1" s="3"/>
      <c r="K1" s="5"/>
      <c r="L1" s="5"/>
      <c r="M1" s="5"/>
      <c r="N1" s="5"/>
      <c r="O1" s="5"/>
      <c r="P1" s="5"/>
    </row>
    <row r="2">
      <c r="A2" s="6" t="s">
        <v>0</v>
      </c>
      <c r="B2" s="7"/>
      <c r="C2" s="7"/>
      <c r="D2" s="8"/>
      <c r="E2" s="1"/>
      <c r="F2" s="1"/>
      <c r="G2" s="1"/>
      <c r="H2" s="3"/>
      <c r="I2" s="4"/>
      <c r="J2" s="3"/>
      <c r="K2" s="5"/>
      <c r="L2" s="5"/>
      <c r="M2" s="5"/>
      <c r="N2" s="5"/>
      <c r="O2" s="5"/>
      <c r="P2" s="5"/>
    </row>
    <row r="3">
      <c r="A3" s="9"/>
      <c r="B3" s="10"/>
      <c r="C3" s="10"/>
      <c r="D3" s="11"/>
      <c r="E3" s="9"/>
      <c r="F3" s="9"/>
      <c r="G3" s="9"/>
      <c r="H3" s="3"/>
      <c r="I3" s="4"/>
      <c r="J3" s="3"/>
      <c r="K3" s="5" t="s">
        <v>1</v>
      </c>
      <c r="L3" s="5"/>
      <c r="M3" s="5"/>
      <c r="N3" s="5"/>
      <c r="O3" s="5"/>
      <c r="P3" s="5"/>
    </row>
    <row r="4">
      <c r="A4" s="12" t="s">
        <v>2</v>
      </c>
      <c r="B4" s="12" t="s">
        <v>3</v>
      </c>
      <c r="C4" s="12"/>
      <c r="D4" s="12" t="s">
        <v>4</v>
      </c>
      <c r="E4" s="12" t="s">
        <v>5</v>
      </c>
      <c r="F4" s="12"/>
      <c r="G4" s="12"/>
      <c r="H4" s="13"/>
      <c r="I4" s="14"/>
      <c r="J4" s="3"/>
      <c r="K4" s="5"/>
      <c r="L4" s="15"/>
      <c r="M4" s="16"/>
      <c r="N4" s="5"/>
      <c r="O4" s="5"/>
      <c r="P4" s="5"/>
    </row>
    <row r="5">
      <c r="A5" s="17">
        <v>802.0</v>
      </c>
      <c r="B5" s="18">
        <v>588.0</v>
      </c>
      <c r="C5" s="18"/>
      <c r="D5" s="18">
        <f>countif(E8:E596,"Yes")</f>
        <v>518</v>
      </c>
      <c r="E5" s="19">
        <f>countif($J$8:$J$599,"Yes")</f>
        <v>216</v>
      </c>
      <c r="F5" s="18"/>
      <c r="G5" s="18"/>
      <c r="H5" s="13"/>
      <c r="I5" s="14"/>
      <c r="J5" s="3"/>
      <c r="K5" s="5"/>
      <c r="L5" s="5"/>
      <c r="M5" s="5"/>
      <c r="N5" s="5"/>
      <c r="O5" s="5"/>
      <c r="P5" s="5"/>
    </row>
    <row r="6">
      <c r="A6" s="20"/>
      <c r="B6" s="21"/>
      <c r="C6" s="21"/>
      <c r="D6" s="22"/>
      <c r="E6" s="21"/>
      <c r="F6" s="21"/>
      <c r="G6" s="21"/>
      <c r="H6" s="3"/>
      <c r="I6" s="23"/>
      <c r="J6" s="24"/>
      <c r="K6" s="25"/>
      <c r="L6" s="25"/>
      <c r="M6" s="25"/>
      <c r="N6" s="25"/>
      <c r="O6" s="25"/>
      <c r="P6" s="25"/>
    </row>
    <row r="7">
      <c r="A7" s="26" t="s">
        <v>6</v>
      </c>
      <c r="B7" s="26" t="s">
        <v>6</v>
      </c>
      <c r="C7" s="26"/>
      <c r="D7" s="26"/>
      <c r="E7" s="26" t="s">
        <v>7</v>
      </c>
      <c r="F7" s="27" t="s">
        <v>8</v>
      </c>
      <c r="G7" s="27" t="s">
        <v>9</v>
      </c>
      <c r="H7" s="28" t="s">
        <v>10</v>
      </c>
      <c r="I7" s="29" t="s">
        <v>11</v>
      </c>
      <c r="J7" s="30" t="s">
        <v>12</v>
      </c>
      <c r="K7" s="31" t="s">
        <v>13</v>
      </c>
      <c r="L7" s="31" t="s">
        <v>14</v>
      </c>
      <c r="M7" s="31" t="s">
        <v>15</v>
      </c>
      <c r="N7" s="31" t="s">
        <v>16</v>
      </c>
      <c r="O7" s="31" t="s">
        <v>17</v>
      </c>
      <c r="P7" s="32" t="s">
        <v>18</v>
      </c>
    </row>
    <row r="8">
      <c r="A8" s="33">
        <v>362.0</v>
      </c>
      <c r="B8" s="34">
        <v>362.0</v>
      </c>
      <c r="C8" s="34" t="str">
        <f>IFERROR(__xludf.DUMMYFUNCTION("if(B8&lt;=999,if(B8&lt;=99,IF(B8&lt;=9,join(,""000"",B8),join(,""00"",B8)),join(,""0"",B8)),B8)"),"0362")</f>
        <v>0362</v>
      </c>
      <c r="D8" s="35" t="s">
        <v>19</v>
      </c>
      <c r="E8" s="34" t="s">
        <v>20</v>
      </c>
      <c r="F8" s="34" t="str">
        <f t="shared" ref="F8:F208" si="1">VLOOKUP(C8,'Copy of Form Responses; CCTV Infra 1'!$G$2:$I$675,2,false)</f>
        <v>#REF!</v>
      </c>
      <c r="G8" s="34" t="str">
        <f t="shared" ref="G8:G208" si="2">VLOOKUP(C8,'Copy of Form Responses; CCTV Infra 1'!$G$2:$I$675,3,false)</f>
        <v>#REF!</v>
      </c>
      <c r="H8" s="36" t="s">
        <v>21</v>
      </c>
      <c r="I8" s="37" t="s">
        <v>22</v>
      </c>
      <c r="J8" s="36" t="s">
        <v>20</v>
      </c>
      <c r="K8" s="38" t="s">
        <v>23</v>
      </c>
      <c r="L8" s="38" t="s">
        <v>24</v>
      </c>
      <c r="M8" s="38">
        <v>80.0</v>
      </c>
      <c r="N8" s="38" t="s">
        <v>25</v>
      </c>
      <c r="O8" s="38" t="s">
        <v>26</v>
      </c>
      <c r="P8" s="39"/>
    </row>
    <row r="9">
      <c r="A9" s="33">
        <v>1001.0</v>
      </c>
      <c r="B9" s="34">
        <v>1001.0</v>
      </c>
      <c r="C9" s="34">
        <f>IFERROR(__xludf.DUMMYFUNCTION("if(B9&lt;=999,if(B9&lt;=99,IF(B9&lt;=9,join(,""000"",B9),join(,""00"",B9)),join(,""0"",B9)),B9)"),1001.0)</f>
        <v>1001</v>
      </c>
      <c r="D9" s="35" t="s">
        <v>27</v>
      </c>
      <c r="E9" s="34" t="s">
        <v>20</v>
      </c>
      <c r="F9" s="34" t="str">
        <f t="shared" si="1"/>
        <v>#REF!</v>
      </c>
      <c r="G9" s="34" t="str">
        <f t="shared" si="2"/>
        <v>#REF!</v>
      </c>
      <c r="H9" s="36" t="s">
        <v>21</v>
      </c>
      <c r="I9" s="37" t="s">
        <v>22</v>
      </c>
      <c r="J9" s="36" t="s">
        <v>20</v>
      </c>
      <c r="K9" s="38" t="s">
        <v>28</v>
      </c>
      <c r="L9" s="36" t="s">
        <v>29</v>
      </c>
      <c r="M9" s="38" t="s">
        <v>30</v>
      </c>
      <c r="N9" s="38" t="s">
        <v>25</v>
      </c>
      <c r="O9" s="36" t="s">
        <v>31</v>
      </c>
      <c r="P9" s="39" t="s">
        <v>32</v>
      </c>
    </row>
    <row r="10">
      <c r="A10" s="33">
        <v>1120.0</v>
      </c>
      <c r="B10" s="34">
        <v>1120.0</v>
      </c>
      <c r="C10" s="34">
        <f>IFERROR(__xludf.DUMMYFUNCTION("if(B10&lt;=999,if(B10&lt;=99,IF(B10&lt;=9,join(,""000"",B10),join(,""00"",B10)),join(,""0"",B10)),B10)"),1120.0)</f>
        <v>1120</v>
      </c>
      <c r="D10" s="35" t="s">
        <v>33</v>
      </c>
      <c r="E10" s="34" t="s">
        <v>20</v>
      </c>
      <c r="F10" s="34" t="str">
        <f t="shared" si="1"/>
        <v>#REF!</v>
      </c>
      <c r="G10" s="34" t="str">
        <f t="shared" si="2"/>
        <v>#REF!</v>
      </c>
      <c r="H10" s="36" t="s">
        <v>21</v>
      </c>
      <c r="I10" s="37" t="s">
        <v>34</v>
      </c>
      <c r="J10" s="36" t="s">
        <v>35</v>
      </c>
      <c r="K10" s="40" t="s">
        <v>28</v>
      </c>
      <c r="L10" s="41" t="s">
        <v>36</v>
      </c>
      <c r="M10" s="38" t="s">
        <v>37</v>
      </c>
      <c r="N10" s="41" t="s">
        <v>25</v>
      </c>
      <c r="O10" s="41" t="s">
        <v>38</v>
      </c>
      <c r="P10" s="41" t="s">
        <v>39</v>
      </c>
    </row>
    <row r="11">
      <c r="A11" s="33">
        <v>222.0</v>
      </c>
      <c r="B11" s="34">
        <v>222.0</v>
      </c>
      <c r="C11" s="34" t="str">
        <f>IFERROR(__xludf.DUMMYFUNCTION("if(B11&lt;=999,if(B11&lt;=99,IF(B11&lt;=9,join(,""000"",B11),join(,""00"",B11)),join(,""0"",B11)),B11)"),"0222")</f>
        <v>0222</v>
      </c>
      <c r="D11" s="35" t="s">
        <v>40</v>
      </c>
      <c r="E11" s="34" t="s">
        <v>20</v>
      </c>
      <c r="F11" s="34" t="str">
        <f t="shared" si="1"/>
        <v>#REF!</v>
      </c>
      <c r="G11" s="34" t="str">
        <f t="shared" si="2"/>
        <v>#REF!</v>
      </c>
      <c r="H11" s="36" t="s">
        <v>21</v>
      </c>
      <c r="I11" s="37" t="s">
        <v>41</v>
      </c>
      <c r="J11" s="36" t="s">
        <v>35</v>
      </c>
      <c r="K11" s="42"/>
      <c r="L11" s="42"/>
      <c r="M11" s="38" t="s">
        <v>42</v>
      </c>
      <c r="N11" s="42"/>
      <c r="O11" s="42"/>
      <c r="P11" s="43" t="s">
        <v>43</v>
      </c>
    </row>
    <row r="12">
      <c r="A12" s="33">
        <v>417.0</v>
      </c>
      <c r="B12" s="34">
        <v>417.0</v>
      </c>
      <c r="C12" s="34" t="str">
        <f>IFERROR(__xludf.DUMMYFUNCTION("if(B12&lt;=999,if(B12&lt;=99,IF(B12&lt;=9,join(,""000"",B12),join(,""00"",B12)),join(,""0"",B12)),B12)"),"0417")</f>
        <v>0417</v>
      </c>
      <c r="D12" s="35" t="s">
        <v>44</v>
      </c>
      <c r="E12" s="34" t="s">
        <v>35</v>
      </c>
      <c r="F12" s="34" t="str">
        <f t="shared" si="1"/>
        <v>#REF!</v>
      </c>
      <c r="G12" s="34" t="str">
        <f t="shared" si="2"/>
        <v>#REF!</v>
      </c>
      <c r="H12" s="36" t="s">
        <v>21</v>
      </c>
      <c r="I12" s="44"/>
      <c r="J12" s="36"/>
      <c r="K12" s="38"/>
      <c r="L12" s="42"/>
      <c r="M12" s="38" t="e">
        <v>#N/A</v>
      </c>
      <c r="N12" s="38"/>
      <c r="O12" s="38"/>
      <c r="P12" s="39"/>
    </row>
    <row r="13">
      <c r="A13" s="33">
        <v>884.0</v>
      </c>
      <c r="B13" s="34">
        <v>884.0</v>
      </c>
      <c r="C13" s="34" t="str">
        <f>IFERROR(__xludf.DUMMYFUNCTION("if(B13&lt;=999,if(B13&lt;=99,IF(B13&lt;=9,join(,""000"",B13),join(,""00"",B13)),join(,""0"",B13)),B13)"),"0884")</f>
        <v>0884</v>
      </c>
      <c r="D13" s="35" t="s">
        <v>45</v>
      </c>
      <c r="E13" s="34" t="s">
        <v>35</v>
      </c>
      <c r="F13" s="34" t="str">
        <f t="shared" si="1"/>
        <v>#REF!</v>
      </c>
      <c r="G13" s="34" t="str">
        <f t="shared" si="2"/>
        <v>#REF!</v>
      </c>
      <c r="H13" s="36" t="s">
        <v>21</v>
      </c>
      <c r="I13" s="37"/>
      <c r="J13" s="36"/>
      <c r="K13" s="38"/>
      <c r="L13" s="42"/>
      <c r="M13" s="38" t="e">
        <v>#N/A</v>
      </c>
      <c r="N13" s="38"/>
      <c r="O13" s="38"/>
      <c r="P13" s="39" t="s">
        <v>46</v>
      </c>
    </row>
    <row r="14">
      <c r="A14" s="45">
        <v>1285.0</v>
      </c>
      <c r="B14" s="45">
        <v>1285.0</v>
      </c>
      <c r="C14" s="45">
        <f>IFERROR(__xludf.DUMMYFUNCTION("if(B14&lt;=999,if(B14&lt;=99,IF(B14&lt;=9,join(,""000"",B14),join(,""00"",B14)),join(,""0"",B14)),B14)"),1285.0)</f>
        <v>1285</v>
      </c>
      <c r="D14" s="46" t="s">
        <v>47</v>
      </c>
      <c r="E14" s="45" t="s">
        <v>20</v>
      </c>
      <c r="F14" s="45" t="str">
        <f t="shared" si="1"/>
        <v>#REF!</v>
      </c>
      <c r="G14" s="45" t="str">
        <f t="shared" si="2"/>
        <v>#REF!</v>
      </c>
      <c r="H14" s="47" t="s">
        <v>21</v>
      </c>
      <c r="I14" s="48" t="s">
        <v>22</v>
      </c>
      <c r="J14" s="47" t="s">
        <v>35</v>
      </c>
      <c r="K14" s="49" t="s">
        <v>48</v>
      </c>
      <c r="L14" s="49" t="s">
        <v>49</v>
      </c>
      <c r="M14" s="49">
        <v>16.0</v>
      </c>
      <c r="N14" s="49" t="s">
        <v>25</v>
      </c>
      <c r="O14" s="49">
        <v>654321.0</v>
      </c>
      <c r="P14" s="50" t="s">
        <v>50</v>
      </c>
    </row>
    <row r="15">
      <c r="A15" s="33">
        <v>1220.0</v>
      </c>
      <c r="B15" s="34">
        <v>1220.0</v>
      </c>
      <c r="C15" s="34">
        <f>IFERROR(__xludf.DUMMYFUNCTION("if(B15&lt;=999,if(B15&lt;=99,IF(B15&lt;=9,join(,""000"",B15),join(,""00"",B15)),join(,""0"",B15)),B15)"),1220.0)</f>
        <v>1220</v>
      </c>
      <c r="D15" s="35" t="s">
        <v>51</v>
      </c>
      <c r="E15" s="34" t="s">
        <v>20</v>
      </c>
      <c r="F15" s="34" t="str">
        <f t="shared" si="1"/>
        <v>#REF!</v>
      </c>
      <c r="G15" s="34" t="str">
        <f t="shared" si="2"/>
        <v>#REF!</v>
      </c>
      <c r="H15" s="36" t="s">
        <v>21</v>
      </c>
      <c r="I15" s="37" t="s">
        <v>22</v>
      </c>
      <c r="J15" s="36" t="s">
        <v>20</v>
      </c>
      <c r="K15" s="38" t="s">
        <v>48</v>
      </c>
      <c r="L15" s="38" t="s">
        <v>52</v>
      </c>
      <c r="M15" s="38" t="s">
        <v>53</v>
      </c>
      <c r="N15" s="38" t="s">
        <v>54</v>
      </c>
      <c r="O15" s="38" t="s">
        <v>55</v>
      </c>
      <c r="P15" s="39" t="s">
        <v>56</v>
      </c>
    </row>
    <row r="16">
      <c r="A16" s="33">
        <v>55.0</v>
      </c>
      <c r="B16" s="34">
        <v>55.0</v>
      </c>
      <c r="C16" s="34" t="str">
        <f>IFERROR(__xludf.DUMMYFUNCTION("if(B16&lt;=999,if(B16&lt;=99,IF(B16&lt;=9,join(,""000"",B16),join(,""00"",B16)),join(,""0"",B16)),B16)"),"0055")</f>
        <v>0055</v>
      </c>
      <c r="D16" s="35" t="s">
        <v>57</v>
      </c>
      <c r="E16" s="34" t="s">
        <v>35</v>
      </c>
      <c r="F16" s="34" t="str">
        <f t="shared" si="1"/>
        <v>#REF!</v>
      </c>
      <c r="G16" s="34" t="str">
        <f t="shared" si="2"/>
        <v>#REF!</v>
      </c>
      <c r="H16" s="36" t="s">
        <v>21</v>
      </c>
      <c r="I16" s="37"/>
      <c r="J16" s="36"/>
      <c r="K16" s="38"/>
      <c r="L16" s="42"/>
      <c r="M16" s="38">
        <v>37777.0</v>
      </c>
      <c r="N16" s="38"/>
      <c r="O16" s="38"/>
      <c r="P16" s="39" t="s">
        <v>58</v>
      </c>
    </row>
    <row r="17">
      <c r="A17" s="51">
        <v>223.0</v>
      </c>
      <c r="B17" s="51">
        <v>223.0</v>
      </c>
      <c r="C17" s="34" t="str">
        <f>IFERROR(__xludf.DUMMYFUNCTION("if(B17&lt;=999,if(B17&lt;=99,IF(B17&lt;=9,join(,""000"",B17),join(,""00"",B17)),join(,""0"",B17)),B17)"),"0223")</f>
        <v>0223</v>
      </c>
      <c r="D17" s="52" t="s">
        <v>59</v>
      </c>
      <c r="E17" s="53" t="s">
        <v>20</v>
      </c>
      <c r="F17" s="34" t="str">
        <f t="shared" si="1"/>
        <v>#REF!</v>
      </c>
      <c r="G17" s="34" t="str">
        <f t="shared" si="2"/>
        <v>#REF!</v>
      </c>
      <c r="H17" s="54" t="s">
        <v>21</v>
      </c>
      <c r="I17" s="37" t="s">
        <v>60</v>
      </c>
      <c r="J17" s="54" t="s">
        <v>35</v>
      </c>
      <c r="K17" s="42"/>
      <c r="L17" s="42"/>
      <c r="M17" s="38">
        <v>2902.0</v>
      </c>
      <c r="N17" s="42"/>
      <c r="O17" s="42"/>
      <c r="P17" s="43" t="s">
        <v>61</v>
      </c>
    </row>
    <row r="18">
      <c r="A18" s="51">
        <v>1067.0</v>
      </c>
      <c r="B18" s="51">
        <v>1067.0</v>
      </c>
      <c r="C18" s="34">
        <f>IFERROR(__xludf.DUMMYFUNCTION("if(B18&lt;=999,if(B18&lt;=99,IF(B18&lt;=9,join(,""000"",B18),join(,""00"",B18)),join(,""0"",B18)),B18)"),1067.0)</f>
        <v>1067</v>
      </c>
      <c r="D18" s="52" t="s">
        <v>62</v>
      </c>
      <c r="E18" s="53" t="s">
        <v>20</v>
      </c>
      <c r="F18" s="34" t="str">
        <f t="shared" si="1"/>
        <v>#REF!</v>
      </c>
      <c r="G18" s="34" t="str">
        <f t="shared" si="2"/>
        <v>#REF!</v>
      </c>
      <c r="H18" s="54" t="s">
        <v>21</v>
      </c>
      <c r="I18" s="37" t="s">
        <v>63</v>
      </c>
      <c r="J18" s="54" t="s">
        <v>35</v>
      </c>
      <c r="K18" s="42" t="s">
        <v>28</v>
      </c>
      <c r="L18" s="42" t="s">
        <v>64</v>
      </c>
      <c r="M18" s="38">
        <v>16.0</v>
      </c>
      <c r="N18" s="42" t="s">
        <v>25</v>
      </c>
      <c r="O18" s="42" t="s">
        <v>65</v>
      </c>
      <c r="P18" s="43" t="s">
        <v>66</v>
      </c>
    </row>
    <row r="19">
      <c r="A19" s="33">
        <v>51.0</v>
      </c>
      <c r="B19" s="34">
        <v>51.0</v>
      </c>
      <c r="C19" s="34" t="str">
        <f>IFERROR(__xludf.DUMMYFUNCTION("if(B19&lt;=999,if(B19&lt;=99,IF(B19&lt;=9,join(,""000"",B19),join(,""00"",B19)),join(,""0"",B19)),B19)"),"0051")</f>
        <v>0051</v>
      </c>
      <c r="D19" s="35" t="s">
        <v>67</v>
      </c>
      <c r="E19" s="34" t="s">
        <v>35</v>
      </c>
      <c r="F19" s="34" t="str">
        <f t="shared" si="1"/>
        <v>#REF!</v>
      </c>
      <c r="G19" s="34" t="str">
        <f t="shared" si="2"/>
        <v>#REF!</v>
      </c>
      <c r="H19" s="36" t="s">
        <v>21</v>
      </c>
      <c r="I19" s="44"/>
      <c r="J19" s="36"/>
      <c r="K19" s="38"/>
      <c r="L19" s="42"/>
      <c r="M19" s="38" t="e">
        <v>#N/A</v>
      </c>
      <c r="N19" s="38"/>
      <c r="O19" s="38"/>
      <c r="P19" s="39"/>
    </row>
    <row r="20">
      <c r="A20" s="51">
        <v>2.0</v>
      </c>
      <c r="B20" s="51">
        <v>2.0</v>
      </c>
      <c r="C20" s="34" t="str">
        <f>IFERROR(__xludf.DUMMYFUNCTION("if(B20&lt;=999,if(B20&lt;=99,IF(B20&lt;=9,join(,""000"",B20),join(,""00"",B20)),join(,""0"",B20)),B20)"),"0002")</f>
        <v>0002</v>
      </c>
      <c r="D20" s="52" t="s">
        <v>68</v>
      </c>
      <c r="E20" s="53" t="s">
        <v>35</v>
      </c>
      <c r="F20" s="34" t="str">
        <f t="shared" si="1"/>
        <v>#REF!</v>
      </c>
      <c r="G20" s="34" t="str">
        <f t="shared" si="2"/>
        <v>#REF!</v>
      </c>
      <c r="H20" s="54" t="s">
        <v>21</v>
      </c>
      <c r="I20" s="44"/>
      <c r="J20" s="54"/>
      <c r="K20" s="42"/>
      <c r="L20" s="42"/>
      <c r="M20" s="38" t="e">
        <v>#N/A</v>
      </c>
      <c r="N20" s="42"/>
      <c r="O20" s="42"/>
      <c r="P20" s="43"/>
    </row>
    <row r="21">
      <c r="A21" s="51">
        <v>1211.0</v>
      </c>
      <c r="B21" s="51">
        <v>1211.0</v>
      </c>
      <c r="C21" s="34">
        <f>IFERROR(__xludf.DUMMYFUNCTION("if(B21&lt;=999,if(B21&lt;=99,IF(B21&lt;=9,join(,""000"",B21),join(,""00"",B21)),join(,""0"",B21)),B21)"),1211.0)</f>
        <v>1211</v>
      </c>
      <c r="D21" s="52" t="s">
        <v>69</v>
      </c>
      <c r="E21" s="53" t="s">
        <v>20</v>
      </c>
      <c r="F21" s="34" t="str">
        <f t="shared" si="1"/>
        <v>#REF!</v>
      </c>
      <c r="G21" s="34" t="str">
        <f t="shared" si="2"/>
        <v>#REF!</v>
      </c>
      <c r="H21" s="54" t="s">
        <v>21</v>
      </c>
      <c r="I21" s="37" t="s">
        <v>60</v>
      </c>
      <c r="J21" s="54" t="s">
        <v>35</v>
      </c>
      <c r="K21" s="42"/>
      <c r="L21" s="42"/>
      <c r="M21" s="38">
        <v>9500.0</v>
      </c>
      <c r="N21" s="42"/>
      <c r="O21" s="42"/>
      <c r="P21" s="43" t="s">
        <v>70</v>
      </c>
    </row>
    <row r="22">
      <c r="A22" s="51">
        <v>1031.0</v>
      </c>
      <c r="B22" s="51">
        <v>1031.0</v>
      </c>
      <c r="C22" s="34">
        <f>IFERROR(__xludf.DUMMYFUNCTION("if(B22&lt;=999,if(B22&lt;=99,IF(B22&lt;=9,join(,""000"",B22),join(,""00"",B22)),join(,""0"",B22)),B22)"),1031.0)</f>
        <v>1031</v>
      </c>
      <c r="D22" s="52" t="s">
        <v>71</v>
      </c>
      <c r="E22" s="53" t="s">
        <v>20</v>
      </c>
      <c r="F22" s="34" t="str">
        <f t="shared" si="1"/>
        <v>#REF!</v>
      </c>
      <c r="G22" s="34" t="str">
        <f t="shared" si="2"/>
        <v>#REF!</v>
      </c>
      <c r="H22" s="54" t="s">
        <v>21</v>
      </c>
      <c r="I22" s="44"/>
      <c r="J22" s="54"/>
      <c r="K22" s="42"/>
      <c r="L22" s="42"/>
      <c r="M22" s="38" t="e">
        <v>#N/A</v>
      </c>
      <c r="N22" s="42"/>
      <c r="O22" s="42"/>
      <c r="P22" s="43"/>
    </row>
    <row r="23">
      <c r="A23" s="51">
        <v>1082.0</v>
      </c>
      <c r="B23" s="51">
        <v>1082.0</v>
      </c>
      <c r="C23" s="34">
        <f>IFERROR(__xludf.DUMMYFUNCTION("if(B23&lt;=999,if(B23&lt;=99,IF(B23&lt;=9,join(,""000"",B23),join(,""00"",B23)),join(,""0"",B23)),B23)"),1082.0)</f>
        <v>1082</v>
      </c>
      <c r="D23" s="52" t="s">
        <v>72</v>
      </c>
      <c r="E23" s="53" t="s">
        <v>20</v>
      </c>
      <c r="F23" s="34" t="str">
        <f t="shared" si="1"/>
        <v>#REF!</v>
      </c>
      <c r="G23" s="34" t="str">
        <f t="shared" si="2"/>
        <v>#REF!</v>
      </c>
      <c r="H23" s="54" t="s">
        <v>21</v>
      </c>
      <c r="I23" s="37" t="s">
        <v>73</v>
      </c>
      <c r="J23" s="54" t="s">
        <v>35</v>
      </c>
      <c r="K23" s="42" t="s">
        <v>28</v>
      </c>
      <c r="L23" s="42" t="s">
        <v>64</v>
      </c>
      <c r="M23" s="38">
        <v>16.0</v>
      </c>
      <c r="N23" s="42" t="s">
        <v>25</v>
      </c>
      <c r="O23" s="42" t="s">
        <v>65</v>
      </c>
      <c r="P23" s="43" t="s">
        <v>66</v>
      </c>
    </row>
    <row r="24">
      <c r="A24" s="33">
        <v>245.0</v>
      </c>
      <c r="B24" s="34">
        <v>245.0</v>
      </c>
      <c r="C24" s="34" t="str">
        <f>IFERROR(__xludf.DUMMYFUNCTION("if(B24&lt;=999,if(B24&lt;=99,IF(B24&lt;=9,join(,""000"",B24),join(,""00"",B24)),join(,""0"",B24)),B24)"),"0245")</f>
        <v>0245</v>
      </c>
      <c r="D24" s="35" t="s">
        <v>74</v>
      </c>
      <c r="E24" s="34" t="s">
        <v>20</v>
      </c>
      <c r="F24" s="34" t="str">
        <f t="shared" si="1"/>
        <v>#REF!</v>
      </c>
      <c r="G24" s="34" t="str">
        <f t="shared" si="2"/>
        <v>#REF!</v>
      </c>
      <c r="H24" s="36" t="s">
        <v>21</v>
      </c>
      <c r="I24" s="37" t="s">
        <v>60</v>
      </c>
      <c r="J24" s="36" t="s">
        <v>35</v>
      </c>
      <c r="K24" s="38"/>
      <c r="L24" s="42"/>
      <c r="M24" s="38">
        <v>123.0</v>
      </c>
      <c r="N24" s="38"/>
      <c r="O24" s="38"/>
      <c r="P24" s="39" t="s">
        <v>75</v>
      </c>
    </row>
    <row r="25">
      <c r="A25" s="33">
        <v>40.0</v>
      </c>
      <c r="B25" s="34">
        <v>40.0</v>
      </c>
      <c r="C25" s="34" t="str">
        <f>IFERROR(__xludf.DUMMYFUNCTION("if(B25&lt;=999,if(B25&lt;=99,IF(B25&lt;=9,join(,""000"",B25),join(,""00"",B25)),join(,""0"",B25)),B25)"),"0040")</f>
        <v>0040</v>
      </c>
      <c r="D25" s="35" t="s">
        <v>76</v>
      </c>
      <c r="E25" s="34" t="s">
        <v>20</v>
      </c>
      <c r="F25" s="34" t="str">
        <f t="shared" si="1"/>
        <v>#REF!</v>
      </c>
      <c r="G25" s="34" t="str">
        <f t="shared" si="2"/>
        <v>#REF!</v>
      </c>
      <c r="H25" s="36" t="s">
        <v>21</v>
      </c>
      <c r="I25" s="37" t="s">
        <v>77</v>
      </c>
      <c r="J25" s="36" t="s">
        <v>20</v>
      </c>
      <c r="K25" s="38" t="s">
        <v>48</v>
      </c>
      <c r="L25" s="38" t="s">
        <v>78</v>
      </c>
      <c r="M25" s="38" t="s">
        <v>79</v>
      </c>
      <c r="N25" s="38" t="s">
        <v>80</v>
      </c>
      <c r="O25" s="38" t="s">
        <v>81</v>
      </c>
      <c r="P25" s="39" t="s">
        <v>82</v>
      </c>
    </row>
    <row r="26">
      <c r="A26" s="55">
        <v>39.0</v>
      </c>
      <c r="B26" s="55">
        <v>39.0</v>
      </c>
      <c r="C26" s="45" t="str">
        <f>IFERROR(__xludf.DUMMYFUNCTION("if(B26&lt;=999,if(B26&lt;=99,IF(B26&lt;=9,join(,""000"",B26),join(,""00"",B26)),join(,""0"",B26)),B26)"),"0039")</f>
        <v>0039</v>
      </c>
      <c r="D26" s="56" t="s">
        <v>83</v>
      </c>
      <c r="E26" s="55" t="s">
        <v>20</v>
      </c>
      <c r="F26" s="45" t="str">
        <f t="shared" si="1"/>
        <v>#REF!</v>
      </c>
      <c r="G26" s="45" t="str">
        <f t="shared" si="2"/>
        <v>#REF!</v>
      </c>
      <c r="H26" s="57" t="s">
        <v>21</v>
      </c>
      <c r="I26" s="48" t="s">
        <v>22</v>
      </c>
      <c r="J26" s="57" t="s">
        <v>35</v>
      </c>
      <c r="K26" s="47" t="s">
        <v>84</v>
      </c>
      <c r="L26" s="47" t="s">
        <v>85</v>
      </c>
      <c r="M26" s="49">
        <v>20.0</v>
      </c>
      <c r="N26" s="58" t="s">
        <v>25</v>
      </c>
      <c r="O26" s="58" t="s">
        <v>86</v>
      </c>
      <c r="P26" s="50" t="s">
        <v>87</v>
      </c>
    </row>
    <row r="27">
      <c r="A27" s="45">
        <v>86.0</v>
      </c>
      <c r="B27" s="45">
        <v>86.0</v>
      </c>
      <c r="C27" s="45" t="str">
        <f>IFERROR(__xludf.DUMMYFUNCTION("if(B27&lt;=999,if(B27&lt;=99,IF(B27&lt;=9,join(,""000"",B27),join(,""00"",B27)),join(,""0"",B27)),B27)"),"0086")</f>
        <v>0086</v>
      </c>
      <c r="D27" s="46" t="s">
        <v>88</v>
      </c>
      <c r="E27" s="45" t="s">
        <v>20</v>
      </c>
      <c r="F27" s="45" t="str">
        <f t="shared" si="1"/>
        <v>#REF!</v>
      </c>
      <c r="G27" s="45" t="str">
        <f t="shared" si="2"/>
        <v>#REF!</v>
      </c>
      <c r="H27" s="47" t="s">
        <v>21</v>
      </c>
      <c r="I27" s="48" t="s">
        <v>22</v>
      </c>
      <c r="J27" s="47" t="s">
        <v>35</v>
      </c>
      <c r="K27" s="47" t="s">
        <v>84</v>
      </c>
      <c r="L27" s="47" t="s">
        <v>85</v>
      </c>
      <c r="M27" s="49" t="e">
        <v>#N/A</v>
      </c>
      <c r="N27" s="58" t="s">
        <v>25</v>
      </c>
      <c r="O27" s="58" t="s">
        <v>89</v>
      </c>
      <c r="P27" s="59" t="s">
        <v>87</v>
      </c>
    </row>
    <row r="28">
      <c r="A28" s="51">
        <v>59.0</v>
      </c>
      <c r="B28" s="51">
        <v>59.0</v>
      </c>
      <c r="C28" s="34" t="str">
        <f>IFERROR(__xludf.DUMMYFUNCTION("if(B28&lt;=999,if(B28&lt;=99,IF(B28&lt;=9,join(,""000"",B28),join(,""00"",B28)),join(,""0"",B28)),B28)"),"0059")</f>
        <v>0059</v>
      </c>
      <c r="D28" s="52" t="s">
        <v>90</v>
      </c>
      <c r="E28" s="53" t="s">
        <v>35</v>
      </c>
      <c r="F28" s="34" t="str">
        <f t="shared" si="1"/>
        <v>#REF!</v>
      </c>
      <c r="G28" s="34" t="str">
        <f t="shared" si="2"/>
        <v>#REF!</v>
      </c>
      <c r="H28" s="54" t="s">
        <v>21</v>
      </c>
      <c r="I28" s="44"/>
      <c r="J28" s="54"/>
      <c r="K28" s="42"/>
      <c r="L28" s="42"/>
      <c r="M28" s="38" t="e">
        <v>#N/A</v>
      </c>
      <c r="N28" s="42"/>
      <c r="O28" s="42"/>
      <c r="P28" s="43"/>
    </row>
    <row r="29">
      <c r="A29" s="51">
        <v>466.0</v>
      </c>
      <c r="B29" s="51">
        <v>466.0</v>
      </c>
      <c r="C29" s="34" t="str">
        <f>IFERROR(__xludf.DUMMYFUNCTION("if(B29&lt;=999,if(B29&lt;=99,IF(B29&lt;=9,join(,""000"",B29),join(,""00"",B29)),join(,""0"",B29)),B29)"),"0466")</f>
        <v>0466</v>
      </c>
      <c r="D29" s="52" t="s">
        <v>91</v>
      </c>
      <c r="E29" s="53" t="s">
        <v>20</v>
      </c>
      <c r="F29" s="34" t="str">
        <f t="shared" si="1"/>
        <v>#REF!</v>
      </c>
      <c r="G29" s="34" t="str">
        <f t="shared" si="2"/>
        <v>#REF!</v>
      </c>
      <c r="H29" s="54" t="s">
        <v>21</v>
      </c>
      <c r="I29" s="37" t="s">
        <v>22</v>
      </c>
      <c r="J29" s="54" t="s">
        <v>35</v>
      </c>
      <c r="K29" s="42"/>
      <c r="L29" s="42"/>
      <c r="M29" s="38">
        <v>80.0</v>
      </c>
      <c r="N29" s="42"/>
      <c r="O29" s="42"/>
      <c r="P29" s="43" t="s">
        <v>43</v>
      </c>
    </row>
    <row r="30">
      <c r="A30" s="51">
        <v>46.0</v>
      </c>
      <c r="B30" s="51">
        <v>46.0</v>
      </c>
      <c r="C30" s="34" t="str">
        <f>IFERROR(__xludf.DUMMYFUNCTION("if(B30&lt;=999,if(B30&lt;=99,IF(B30&lt;=9,join(,""000"",B30),join(,""00"",B30)),join(,""0"",B30)),B30)"),"0046")</f>
        <v>0046</v>
      </c>
      <c r="D30" s="52" t="s">
        <v>92</v>
      </c>
      <c r="E30" s="53" t="s">
        <v>20</v>
      </c>
      <c r="F30" s="34" t="str">
        <f t="shared" si="1"/>
        <v>#REF!</v>
      </c>
      <c r="G30" s="34" t="str">
        <f t="shared" si="2"/>
        <v>#REF!</v>
      </c>
      <c r="H30" s="54" t="s">
        <v>21</v>
      </c>
      <c r="I30" s="37" t="s">
        <v>22</v>
      </c>
      <c r="J30" s="54" t="s">
        <v>35</v>
      </c>
      <c r="K30" s="42"/>
      <c r="L30" s="42"/>
      <c r="M30" s="38" t="s">
        <v>93</v>
      </c>
      <c r="N30" s="42"/>
      <c r="O30" s="42"/>
      <c r="P30" s="43" t="s">
        <v>43</v>
      </c>
    </row>
    <row r="31">
      <c r="A31" s="55">
        <v>1088.0</v>
      </c>
      <c r="B31" s="55">
        <v>1088.0</v>
      </c>
      <c r="C31" s="45">
        <f>IFERROR(__xludf.DUMMYFUNCTION("if(B31&lt;=999,if(B31&lt;=99,IF(B31&lt;=9,join(,""000"",B31),join(,""00"",B31)),join(,""0"",B31)),B31)"),1088.0)</f>
        <v>1088</v>
      </c>
      <c r="D31" s="56" t="s">
        <v>94</v>
      </c>
      <c r="E31" s="55" t="s">
        <v>20</v>
      </c>
      <c r="F31" s="45" t="str">
        <f t="shared" si="1"/>
        <v>#REF!</v>
      </c>
      <c r="G31" s="45" t="str">
        <f t="shared" si="2"/>
        <v>#REF!</v>
      </c>
      <c r="H31" s="57" t="s">
        <v>21</v>
      </c>
      <c r="I31" s="48" t="s">
        <v>77</v>
      </c>
      <c r="J31" s="57" t="s">
        <v>20</v>
      </c>
      <c r="K31" s="60" t="s">
        <v>95</v>
      </c>
      <c r="L31" s="60" t="s">
        <v>96</v>
      </c>
      <c r="M31" s="49">
        <v>8181.0</v>
      </c>
      <c r="N31" s="60" t="s">
        <v>25</v>
      </c>
      <c r="O31" s="60" t="s">
        <v>55</v>
      </c>
      <c r="P31" s="61" t="s">
        <v>97</v>
      </c>
    </row>
    <row r="32">
      <c r="A32" s="51">
        <v>347.0</v>
      </c>
      <c r="B32" s="51">
        <v>347.0</v>
      </c>
      <c r="C32" s="34" t="str">
        <f>IFERROR(__xludf.DUMMYFUNCTION("if(B32&lt;=999,if(B32&lt;=99,IF(B32&lt;=9,join(,""000"",B32),join(,""00"",B32)),join(,""0"",B32)),B32)"),"0347")</f>
        <v>0347</v>
      </c>
      <c r="D32" s="52" t="s">
        <v>98</v>
      </c>
      <c r="E32" s="53" t="s">
        <v>20</v>
      </c>
      <c r="F32" s="34" t="str">
        <f t="shared" si="1"/>
        <v>#REF!</v>
      </c>
      <c r="G32" s="34" t="str">
        <f t="shared" si="2"/>
        <v>#REF!</v>
      </c>
      <c r="H32" s="54" t="s">
        <v>21</v>
      </c>
      <c r="I32" s="37" t="s">
        <v>99</v>
      </c>
      <c r="J32" s="54" t="s">
        <v>35</v>
      </c>
      <c r="K32" s="42"/>
      <c r="L32" s="42"/>
      <c r="M32" s="38">
        <v>554.0</v>
      </c>
      <c r="N32" s="42"/>
      <c r="O32" s="42"/>
      <c r="P32" s="43" t="s">
        <v>43</v>
      </c>
    </row>
    <row r="33">
      <c r="A33" s="51">
        <v>1064.0</v>
      </c>
      <c r="B33" s="51">
        <v>1064.0</v>
      </c>
      <c r="C33" s="34">
        <f>IFERROR(__xludf.DUMMYFUNCTION("if(B33&lt;=999,if(B33&lt;=99,IF(B33&lt;=9,join(,""000"",B33),join(,""00"",B33)),join(,""0"",B33)),B33)"),1064.0)</f>
        <v>1064</v>
      </c>
      <c r="D33" s="52" t="s">
        <v>100</v>
      </c>
      <c r="E33" s="53" t="s">
        <v>20</v>
      </c>
      <c r="F33" s="34" t="str">
        <f t="shared" si="1"/>
        <v>#REF!</v>
      </c>
      <c r="G33" s="34" t="str">
        <f t="shared" si="2"/>
        <v>#REF!</v>
      </c>
      <c r="H33" s="54" t="s">
        <v>21</v>
      </c>
      <c r="I33" s="37" t="s">
        <v>101</v>
      </c>
      <c r="J33" s="54" t="s">
        <v>35</v>
      </c>
      <c r="K33" s="42" t="s">
        <v>95</v>
      </c>
      <c r="L33" s="36" t="s">
        <v>102</v>
      </c>
      <c r="M33" s="38" t="s">
        <v>103</v>
      </c>
      <c r="N33" s="62" t="s">
        <v>104</v>
      </c>
      <c r="O33" s="62">
        <v>888888.0</v>
      </c>
      <c r="P33" s="43" t="s">
        <v>46</v>
      </c>
    </row>
    <row r="34">
      <c r="A34" s="33">
        <v>232.0</v>
      </c>
      <c r="B34" s="34">
        <v>232.0</v>
      </c>
      <c r="C34" s="34" t="str">
        <f>IFERROR(__xludf.DUMMYFUNCTION("if(B34&lt;=999,if(B34&lt;=99,IF(B34&lt;=9,join(,""000"",B34),join(,""00"",B34)),join(,""0"",B34)),B34)"),"0232")</f>
        <v>0232</v>
      </c>
      <c r="D34" s="35" t="s">
        <v>105</v>
      </c>
      <c r="E34" s="34" t="s">
        <v>20</v>
      </c>
      <c r="F34" s="34" t="str">
        <f t="shared" si="1"/>
        <v>#REF!</v>
      </c>
      <c r="G34" s="34" t="str">
        <f t="shared" si="2"/>
        <v>#REF!</v>
      </c>
      <c r="H34" s="36" t="s">
        <v>21</v>
      </c>
      <c r="I34" s="37" t="s">
        <v>22</v>
      </c>
      <c r="J34" s="36" t="s">
        <v>35</v>
      </c>
      <c r="K34" s="38"/>
      <c r="L34" s="42"/>
      <c r="M34" s="38" t="e">
        <v>#N/A</v>
      </c>
      <c r="N34" s="38"/>
      <c r="O34" s="38"/>
      <c r="P34" s="39" t="s">
        <v>106</v>
      </c>
    </row>
    <row r="35">
      <c r="A35" s="51">
        <v>802.0</v>
      </c>
      <c r="B35" s="51">
        <v>802.0</v>
      </c>
      <c r="C35" s="34" t="str">
        <f>IFERROR(__xludf.DUMMYFUNCTION("if(B35&lt;=999,if(B35&lt;=99,IF(B35&lt;=9,join(,""000"",B35),join(,""00"",B35)),join(,""0"",B35)),B35)"),"0802")</f>
        <v>0802</v>
      </c>
      <c r="D35" s="52" t="s">
        <v>107</v>
      </c>
      <c r="E35" s="53" t="s">
        <v>20</v>
      </c>
      <c r="F35" s="34" t="str">
        <f t="shared" si="1"/>
        <v>#REF!</v>
      </c>
      <c r="G35" s="34" t="str">
        <f t="shared" si="2"/>
        <v>#REF!</v>
      </c>
      <c r="H35" s="54" t="s">
        <v>21</v>
      </c>
      <c r="I35" s="37" t="s">
        <v>22</v>
      </c>
      <c r="J35" s="54" t="s">
        <v>35</v>
      </c>
      <c r="K35" s="42"/>
      <c r="L35" s="42"/>
      <c r="M35" s="38" t="s">
        <v>108</v>
      </c>
      <c r="N35" s="42"/>
      <c r="O35" s="42"/>
      <c r="P35" s="43" t="s">
        <v>106</v>
      </c>
    </row>
    <row r="36">
      <c r="A36" s="51">
        <v>1255.0</v>
      </c>
      <c r="B36" s="51">
        <v>1255.0</v>
      </c>
      <c r="C36" s="34">
        <f>IFERROR(__xludf.DUMMYFUNCTION("if(B36&lt;=999,if(B36&lt;=99,IF(B36&lt;=9,join(,""000"",B36),join(,""00"",B36)),join(,""0"",B36)),B36)"),1255.0)</f>
        <v>1255</v>
      </c>
      <c r="D36" s="52" t="s">
        <v>109</v>
      </c>
      <c r="E36" s="53" t="s">
        <v>20</v>
      </c>
      <c r="F36" s="34" t="str">
        <f t="shared" si="1"/>
        <v>#REF!</v>
      </c>
      <c r="G36" s="34" t="str">
        <f t="shared" si="2"/>
        <v>#REF!</v>
      </c>
      <c r="H36" s="54" t="s">
        <v>21</v>
      </c>
      <c r="I36" s="37" t="s">
        <v>73</v>
      </c>
      <c r="J36" s="54" t="s">
        <v>20</v>
      </c>
      <c r="K36" s="63" t="s">
        <v>23</v>
      </c>
      <c r="L36" s="36" t="s">
        <v>110</v>
      </c>
      <c r="M36" s="38">
        <v>16.0</v>
      </c>
      <c r="N36" s="62" t="s">
        <v>25</v>
      </c>
      <c r="O36" s="62" t="s">
        <v>86</v>
      </c>
      <c r="P36" s="43" t="s">
        <v>97</v>
      </c>
    </row>
    <row r="37">
      <c r="A37" s="51">
        <v>1205.0</v>
      </c>
      <c r="B37" s="51">
        <v>1205.0</v>
      </c>
      <c r="C37" s="34">
        <f>IFERROR(__xludf.DUMMYFUNCTION("if(B37&lt;=999,if(B37&lt;=99,IF(B37&lt;=9,join(,""000"",B37),join(,""00"",B37)),join(,""0"",B37)),B37)"),1205.0)</f>
        <v>1205</v>
      </c>
      <c r="D37" s="52" t="s">
        <v>111</v>
      </c>
      <c r="E37" s="53" t="s">
        <v>20</v>
      </c>
      <c r="F37" s="34" t="str">
        <f t="shared" si="1"/>
        <v>#REF!</v>
      </c>
      <c r="G37" s="34" t="str">
        <f t="shared" si="2"/>
        <v>#REF!</v>
      </c>
      <c r="H37" s="54" t="s">
        <v>21</v>
      </c>
      <c r="I37" s="37" t="s">
        <v>73</v>
      </c>
      <c r="J37" s="54" t="s">
        <v>20</v>
      </c>
      <c r="K37" s="63" t="s">
        <v>23</v>
      </c>
      <c r="L37" s="36" t="s">
        <v>110</v>
      </c>
      <c r="M37" s="38">
        <v>16.0</v>
      </c>
      <c r="N37" s="62" t="s">
        <v>25</v>
      </c>
      <c r="O37" s="62" t="s">
        <v>86</v>
      </c>
      <c r="P37" s="43" t="s">
        <v>97</v>
      </c>
    </row>
    <row r="38">
      <c r="A38" s="51">
        <v>1353.0</v>
      </c>
      <c r="B38" s="51">
        <v>1353.0</v>
      </c>
      <c r="C38" s="34">
        <f>IFERROR(__xludf.DUMMYFUNCTION("if(B38&lt;=999,if(B38&lt;=99,IF(B38&lt;=9,join(,""000"",B38),join(,""00"",B38)),join(,""0"",B38)),B38)"),1353.0)</f>
        <v>1353</v>
      </c>
      <c r="D38" s="52" t="s">
        <v>112</v>
      </c>
      <c r="E38" s="53" t="s">
        <v>20</v>
      </c>
      <c r="F38" s="34" t="str">
        <f t="shared" si="1"/>
        <v>#REF!</v>
      </c>
      <c r="G38" s="34" t="str">
        <f t="shared" si="2"/>
        <v>#REF!</v>
      </c>
      <c r="H38" s="54" t="s">
        <v>21</v>
      </c>
      <c r="I38" s="37" t="s">
        <v>101</v>
      </c>
      <c r="J38" s="54" t="s">
        <v>20</v>
      </c>
      <c r="K38" s="42" t="s">
        <v>95</v>
      </c>
      <c r="L38" s="42" t="s">
        <v>113</v>
      </c>
      <c r="M38" s="38">
        <v>80.0</v>
      </c>
      <c r="N38" s="42" t="s">
        <v>25</v>
      </c>
      <c r="O38" s="42" t="s">
        <v>114</v>
      </c>
      <c r="P38" s="43"/>
    </row>
    <row r="39">
      <c r="A39" s="51">
        <v>1383.0</v>
      </c>
      <c r="B39" s="51">
        <v>1383.0</v>
      </c>
      <c r="C39" s="34">
        <f>IFERROR(__xludf.DUMMYFUNCTION("if(B39&lt;=999,if(B39&lt;=99,IF(B39&lt;=9,join(,""000"",B39),join(,""00"",B39)),join(,""0"",B39)),B39)"),1383.0)</f>
        <v>1383</v>
      </c>
      <c r="D39" s="52" t="s">
        <v>115</v>
      </c>
      <c r="E39" s="53" t="s">
        <v>35</v>
      </c>
      <c r="F39" s="34" t="str">
        <f t="shared" si="1"/>
        <v>#REF!</v>
      </c>
      <c r="G39" s="34" t="str">
        <f t="shared" si="2"/>
        <v>#REF!</v>
      </c>
      <c r="H39" s="54" t="s">
        <v>21</v>
      </c>
      <c r="I39" s="44"/>
      <c r="J39" s="54"/>
      <c r="K39" s="42"/>
      <c r="L39" s="42"/>
      <c r="M39" s="38" t="e">
        <v>#N/A</v>
      </c>
      <c r="N39" s="42"/>
      <c r="O39" s="42"/>
      <c r="P39" s="43"/>
    </row>
    <row r="40">
      <c r="A40" s="51">
        <v>757.0</v>
      </c>
      <c r="B40" s="51">
        <v>757.0</v>
      </c>
      <c r="C40" s="34" t="str">
        <f>IFERROR(__xludf.DUMMYFUNCTION("if(B40&lt;=999,if(B40&lt;=99,IF(B40&lt;=9,join(,""000"",B40),join(,""00"",B40)),join(,""0"",B40)),B40)"),"0757")</f>
        <v>0757</v>
      </c>
      <c r="D40" s="52" t="s">
        <v>116</v>
      </c>
      <c r="E40" s="53" t="s">
        <v>20</v>
      </c>
      <c r="F40" s="34" t="str">
        <f t="shared" si="1"/>
        <v>#REF!</v>
      </c>
      <c r="G40" s="34" t="str">
        <f t="shared" si="2"/>
        <v>#REF!</v>
      </c>
      <c r="H40" s="54" t="s">
        <v>21</v>
      </c>
      <c r="I40" s="37" t="s">
        <v>117</v>
      </c>
      <c r="J40" s="54" t="s">
        <v>35</v>
      </c>
      <c r="K40" s="42"/>
      <c r="L40" s="42"/>
      <c r="M40" s="38">
        <v>16.0</v>
      </c>
      <c r="N40" s="42"/>
      <c r="O40" s="42"/>
      <c r="P40" s="43" t="s">
        <v>61</v>
      </c>
    </row>
    <row r="41">
      <c r="A41" s="51">
        <v>1376.0</v>
      </c>
      <c r="B41" s="51">
        <v>1376.0</v>
      </c>
      <c r="C41" s="34">
        <f>IFERROR(__xludf.DUMMYFUNCTION("if(B41&lt;=999,if(B41&lt;=99,IF(B41&lt;=9,join(,""000"",B41),join(,""00"",B41)),join(,""0"",B41)),B41)"),1376.0)</f>
        <v>1376</v>
      </c>
      <c r="D41" s="52" t="s">
        <v>118</v>
      </c>
      <c r="E41" s="53" t="s">
        <v>20</v>
      </c>
      <c r="F41" s="34" t="str">
        <f t="shared" si="1"/>
        <v>#REF!</v>
      </c>
      <c r="G41" s="34" t="str">
        <f t="shared" si="2"/>
        <v>#REF!</v>
      </c>
      <c r="H41" s="54" t="s">
        <v>21</v>
      </c>
      <c r="I41" s="37" t="s">
        <v>63</v>
      </c>
      <c r="J41" s="54" t="s">
        <v>20</v>
      </c>
      <c r="K41" s="42" t="s">
        <v>28</v>
      </c>
      <c r="L41" s="42" t="s">
        <v>119</v>
      </c>
      <c r="M41" s="38">
        <v>80.0</v>
      </c>
      <c r="N41" s="42" t="s">
        <v>25</v>
      </c>
      <c r="O41" s="42" t="s">
        <v>86</v>
      </c>
      <c r="P41" s="43" t="s">
        <v>97</v>
      </c>
    </row>
    <row r="42">
      <c r="A42" s="55">
        <v>1018.0</v>
      </c>
      <c r="B42" s="55">
        <v>1018.0</v>
      </c>
      <c r="C42" s="45">
        <f>IFERROR(__xludf.DUMMYFUNCTION("if(B42&lt;=999,if(B42&lt;=99,IF(B42&lt;=9,join(,""000"",B42),join(,""00"",B42)),join(,""0"",B42)),B42)"),1018.0)</f>
        <v>1018</v>
      </c>
      <c r="D42" s="56" t="s">
        <v>120</v>
      </c>
      <c r="E42" s="55" t="s">
        <v>20</v>
      </c>
      <c r="F42" s="45" t="str">
        <f t="shared" si="1"/>
        <v>#REF!</v>
      </c>
      <c r="G42" s="45" t="str">
        <f t="shared" si="2"/>
        <v>#REF!</v>
      </c>
      <c r="H42" s="57" t="s">
        <v>21</v>
      </c>
      <c r="I42" s="48" t="s">
        <v>77</v>
      </c>
      <c r="J42" s="57" t="s">
        <v>20</v>
      </c>
      <c r="K42" s="47" t="s">
        <v>121</v>
      </c>
      <c r="L42" s="47" t="s">
        <v>122</v>
      </c>
      <c r="M42" s="49" t="s">
        <v>123</v>
      </c>
      <c r="N42" s="58" t="s">
        <v>25</v>
      </c>
      <c r="O42" s="58" t="s">
        <v>124</v>
      </c>
      <c r="P42" s="61"/>
    </row>
    <row r="43">
      <c r="A43" s="33">
        <v>287.0</v>
      </c>
      <c r="B43" s="34">
        <v>287.0</v>
      </c>
      <c r="C43" s="34" t="str">
        <f>IFERROR(__xludf.DUMMYFUNCTION("if(B43&lt;=999,if(B43&lt;=99,IF(B43&lt;=9,join(,""000"",B43),join(,""00"",B43)),join(,""0"",B43)),B43)"),"0287")</f>
        <v>0287</v>
      </c>
      <c r="D43" s="35" t="s">
        <v>125</v>
      </c>
      <c r="E43" s="34" t="s">
        <v>20</v>
      </c>
      <c r="F43" s="34" t="str">
        <f t="shared" si="1"/>
        <v>#REF!</v>
      </c>
      <c r="G43" s="34" t="str">
        <f t="shared" si="2"/>
        <v>#REF!</v>
      </c>
      <c r="H43" s="36" t="s">
        <v>21</v>
      </c>
      <c r="I43" s="37" t="s">
        <v>34</v>
      </c>
      <c r="J43" s="36" t="s">
        <v>20</v>
      </c>
      <c r="K43" s="38" t="s">
        <v>95</v>
      </c>
      <c r="L43" s="36" t="s">
        <v>126</v>
      </c>
      <c r="M43" s="38">
        <v>25001.0</v>
      </c>
      <c r="N43" s="38" t="s">
        <v>25</v>
      </c>
      <c r="O43" s="38" t="s">
        <v>55</v>
      </c>
      <c r="P43" s="39"/>
    </row>
    <row r="44">
      <c r="A44" s="33">
        <v>1414.0</v>
      </c>
      <c r="B44" s="34">
        <v>1414.0</v>
      </c>
      <c r="C44" s="34">
        <f>IFERROR(__xludf.DUMMYFUNCTION("if(B44&lt;=999,if(B44&lt;=99,IF(B44&lt;=9,join(,""000"",B44),join(,""00"",B44)),join(,""0"",B44)),B44)"),1414.0)</f>
        <v>1414</v>
      </c>
      <c r="D44" s="35" t="s">
        <v>127</v>
      </c>
      <c r="E44" s="34" t="s">
        <v>20</v>
      </c>
      <c r="F44" s="34" t="str">
        <f t="shared" si="1"/>
        <v>#REF!</v>
      </c>
      <c r="G44" s="34" t="str">
        <f t="shared" si="2"/>
        <v>#REF!</v>
      </c>
      <c r="H44" s="36" t="s">
        <v>21</v>
      </c>
      <c r="I44" s="37" t="s">
        <v>22</v>
      </c>
      <c r="J44" s="36" t="s">
        <v>35</v>
      </c>
      <c r="K44" s="38" t="s">
        <v>28</v>
      </c>
      <c r="L44" s="38" t="s">
        <v>128</v>
      </c>
      <c r="M44" s="38">
        <v>8080.0</v>
      </c>
      <c r="N44" s="38" t="s">
        <v>25</v>
      </c>
      <c r="O44" s="38" t="s">
        <v>129</v>
      </c>
      <c r="P44" s="39" t="s">
        <v>130</v>
      </c>
    </row>
    <row r="45">
      <c r="A45" s="33">
        <v>1430.0</v>
      </c>
      <c r="B45" s="34">
        <v>1430.0</v>
      </c>
      <c r="C45" s="34">
        <f>IFERROR(__xludf.DUMMYFUNCTION("if(B45&lt;=999,if(B45&lt;=99,IF(B45&lt;=9,join(,""000"",B45),join(,""00"",B45)),join(,""0"",B45)),B45)"),1430.0)</f>
        <v>1430</v>
      </c>
      <c r="D45" s="35" t="s">
        <v>131</v>
      </c>
      <c r="E45" s="34" t="s">
        <v>20</v>
      </c>
      <c r="F45" s="34" t="str">
        <f t="shared" si="1"/>
        <v>#REF!</v>
      </c>
      <c r="G45" s="34" t="str">
        <f t="shared" si="2"/>
        <v>#REF!</v>
      </c>
      <c r="H45" s="36" t="s">
        <v>21</v>
      </c>
      <c r="I45" s="37" t="s">
        <v>34</v>
      </c>
      <c r="J45" s="36" t="s">
        <v>35</v>
      </c>
      <c r="K45" s="38"/>
      <c r="L45" s="42"/>
      <c r="M45" s="38">
        <v>16.0</v>
      </c>
      <c r="N45" s="38"/>
      <c r="O45" s="38"/>
      <c r="P45" s="39" t="s">
        <v>130</v>
      </c>
    </row>
    <row r="46">
      <c r="A46" s="51">
        <v>1418.0</v>
      </c>
      <c r="B46" s="51">
        <v>1418.0</v>
      </c>
      <c r="C46" s="34">
        <f>IFERROR(__xludf.DUMMYFUNCTION("if(B46&lt;=999,if(B46&lt;=99,IF(B46&lt;=9,join(,""000"",B46),join(,""00"",B46)),join(,""0"",B46)),B46)"),1418.0)</f>
        <v>1418</v>
      </c>
      <c r="D46" s="52" t="s">
        <v>132</v>
      </c>
      <c r="E46" s="53" t="s">
        <v>20</v>
      </c>
      <c r="F46" s="34" t="str">
        <f t="shared" si="1"/>
        <v>#REF!</v>
      </c>
      <c r="G46" s="34" t="str">
        <f t="shared" si="2"/>
        <v>#REF!</v>
      </c>
      <c r="H46" s="54" t="s">
        <v>21</v>
      </c>
      <c r="I46" s="37" t="s">
        <v>34</v>
      </c>
      <c r="J46" s="54" t="s">
        <v>35</v>
      </c>
      <c r="K46" s="42" t="s">
        <v>28</v>
      </c>
      <c r="L46" s="36" t="s">
        <v>133</v>
      </c>
      <c r="M46" s="38">
        <v>16.0</v>
      </c>
      <c r="N46" s="62" t="s">
        <v>25</v>
      </c>
      <c r="O46" s="62" t="s">
        <v>86</v>
      </c>
      <c r="P46" s="43" t="s">
        <v>134</v>
      </c>
    </row>
    <row r="47">
      <c r="A47" s="51">
        <v>1254.0</v>
      </c>
      <c r="B47" s="51">
        <v>1254.0</v>
      </c>
      <c r="C47" s="34">
        <f>IFERROR(__xludf.DUMMYFUNCTION("if(B47&lt;=999,if(B47&lt;=99,IF(B47&lt;=9,join(,""000"",B47),join(,""00"",B47)),join(,""0"",B47)),B47)"),1254.0)</f>
        <v>1254</v>
      </c>
      <c r="D47" s="52" t="s">
        <v>135</v>
      </c>
      <c r="E47" s="53" t="s">
        <v>20</v>
      </c>
      <c r="F47" s="34" t="str">
        <f t="shared" si="1"/>
        <v>#REF!</v>
      </c>
      <c r="G47" s="34" t="str">
        <f t="shared" si="2"/>
        <v>#REF!</v>
      </c>
      <c r="H47" s="54" t="s">
        <v>21</v>
      </c>
      <c r="I47" s="37" t="s">
        <v>63</v>
      </c>
      <c r="J47" s="54" t="s">
        <v>20</v>
      </c>
      <c r="K47" s="42" t="s">
        <v>28</v>
      </c>
      <c r="L47" s="42" t="s">
        <v>119</v>
      </c>
      <c r="M47" s="38">
        <v>80.0</v>
      </c>
      <c r="N47" s="42" t="s">
        <v>25</v>
      </c>
      <c r="O47" s="42" t="s">
        <v>86</v>
      </c>
      <c r="P47" s="43" t="s">
        <v>97</v>
      </c>
    </row>
    <row r="48">
      <c r="A48" s="33">
        <v>1098.0</v>
      </c>
      <c r="B48" s="34">
        <v>1098.0</v>
      </c>
      <c r="C48" s="34">
        <f>IFERROR(__xludf.DUMMYFUNCTION("if(B48&lt;=999,if(B48&lt;=99,IF(B48&lt;=9,join(,""000"",B48),join(,""00"",B48)),join(,""0"",B48)),B48)"),1098.0)</f>
        <v>1098</v>
      </c>
      <c r="D48" s="35" t="s">
        <v>136</v>
      </c>
      <c r="E48" s="34" t="s">
        <v>20</v>
      </c>
      <c r="F48" s="34" t="str">
        <f t="shared" si="1"/>
        <v>#REF!</v>
      </c>
      <c r="G48" s="34" t="str">
        <f t="shared" si="2"/>
        <v>#REF!</v>
      </c>
      <c r="H48" s="36" t="s">
        <v>21</v>
      </c>
      <c r="I48" s="37" t="s">
        <v>34</v>
      </c>
      <c r="J48" s="36" t="s">
        <v>20</v>
      </c>
      <c r="K48" s="38" t="s">
        <v>137</v>
      </c>
      <c r="L48" s="38" t="s">
        <v>138</v>
      </c>
      <c r="M48" s="38" t="s">
        <v>139</v>
      </c>
      <c r="N48" s="38" t="s">
        <v>25</v>
      </c>
      <c r="O48" s="38" t="s">
        <v>55</v>
      </c>
      <c r="P48" s="39" t="s">
        <v>97</v>
      </c>
    </row>
    <row r="49">
      <c r="A49" s="51">
        <v>1024.0</v>
      </c>
      <c r="B49" s="51">
        <v>1024.0</v>
      </c>
      <c r="C49" s="34">
        <f>IFERROR(__xludf.DUMMYFUNCTION("if(B49&lt;=999,if(B49&lt;=99,IF(B49&lt;=9,join(,""000"",B49),join(,""00"",B49)),join(,""0"",B49)),B49)"),1024.0)</f>
        <v>1024</v>
      </c>
      <c r="D49" s="52" t="s">
        <v>140</v>
      </c>
      <c r="E49" s="53" t="s">
        <v>20</v>
      </c>
      <c r="F49" s="34" t="str">
        <f t="shared" si="1"/>
        <v>#REF!</v>
      </c>
      <c r="G49" s="34" t="str">
        <f t="shared" si="2"/>
        <v>#REF!</v>
      </c>
      <c r="H49" s="54" t="s">
        <v>21</v>
      </c>
      <c r="I49" s="37" t="s">
        <v>77</v>
      </c>
      <c r="J49" s="54" t="s">
        <v>35</v>
      </c>
      <c r="K49" s="42"/>
      <c r="L49" s="42"/>
      <c r="M49" s="38">
        <v>5005.0</v>
      </c>
      <c r="N49" s="42"/>
      <c r="O49" s="42"/>
      <c r="P49" s="43" t="s">
        <v>43</v>
      </c>
    </row>
    <row r="50">
      <c r="A50" s="51">
        <v>344.0</v>
      </c>
      <c r="B50" s="51">
        <v>344.0</v>
      </c>
      <c r="C50" s="34" t="str">
        <f>IFERROR(__xludf.DUMMYFUNCTION("if(B50&lt;=999,if(B50&lt;=99,IF(B50&lt;=9,join(,""000"",B50),join(,""00"",B50)),join(,""0"",B50)),B50)"),"0344")</f>
        <v>0344</v>
      </c>
      <c r="D50" s="52" t="s">
        <v>141</v>
      </c>
      <c r="E50" s="53" t="s">
        <v>20</v>
      </c>
      <c r="F50" s="34" t="str">
        <f t="shared" si="1"/>
        <v>#REF!</v>
      </c>
      <c r="G50" s="34" t="str">
        <f t="shared" si="2"/>
        <v>#REF!</v>
      </c>
      <c r="H50" s="54" t="s">
        <v>21</v>
      </c>
      <c r="I50" s="37" t="s">
        <v>22</v>
      </c>
      <c r="J50" s="54" t="s">
        <v>35</v>
      </c>
      <c r="K50" s="42"/>
      <c r="L50" s="42"/>
      <c r="M50" s="38" t="e">
        <v>#N/A</v>
      </c>
      <c r="N50" s="42"/>
      <c r="O50" s="42"/>
      <c r="P50" s="43" t="s">
        <v>61</v>
      </c>
    </row>
    <row r="51">
      <c r="A51" s="45">
        <v>1194.0</v>
      </c>
      <c r="B51" s="45">
        <v>1194.0</v>
      </c>
      <c r="C51" s="45">
        <f>IFERROR(__xludf.DUMMYFUNCTION("if(B51&lt;=999,if(B51&lt;=99,IF(B51&lt;=9,join(,""000"",B51),join(,""00"",B51)),join(,""0"",B51)),B51)"),1194.0)</f>
        <v>1194</v>
      </c>
      <c r="D51" s="46" t="s">
        <v>142</v>
      </c>
      <c r="E51" s="45" t="s">
        <v>20</v>
      </c>
      <c r="F51" s="45" t="str">
        <f t="shared" si="1"/>
        <v>#REF!</v>
      </c>
      <c r="G51" s="45" t="str">
        <f t="shared" si="2"/>
        <v>#REF!</v>
      </c>
      <c r="H51" s="47" t="s">
        <v>21</v>
      </c>
      <c r="I51" s="48" t="s">
        <v>101</v>
      </c>
      <c r="J51" s="47" t="s">
        <v>20</v>
      </c>
      <c r="K51" s="49" t="s">
        <v>95</v>
      </c>
      <c r="L51" s="49" t="s">
        <v>143</v>
      </c>
      <c r="M51" s="49">
        <v>37777.0</v>
      </c>
      <c r="N51" s="49" t="s">
        <v>25</v>
      </c>
      <c r="O51" s="49" t="s">
        <v>25</v>
      </c>
      <c r="P51" s="50" t="s">
        <v>144</v>
      </c>
    </row>
    <row r="52">
      <c r="A52" s="51">
        <v>1398.0</v>
      </c>
      <c r="B52" s="51">
        <v>1398.0</v>
      </c>
      <c r="C52" s="34">
        <f>IFERROR(__xludf.DUMMYFUNCTION("if(B52&lt;=999,if(B52&lt;=99,IF(B52&lt;=9,join(,""000"",B52),join(,""00"",B52)),join(,""0"",B52)),B52)"),1398.0)</f>
        <v>1398</v>
      </c>
      <c r="D52" s="52" t="s">
        <v>145</v>
      </c>
      <c r="E52" s="53" t="s">
        <v>20</v>
      </c>
      <c r="F52" s="34" t="str">
        <f t="shared" si="1"/>
        <v>#REF!</v>
      </c>
      <c r="G52" s="34" t="str">
        <f t="shared" si="2"/>
        <v>#REF!</v>
      </c>
      <c r="H52" s="54" t="s">
        <v>21</v>
      </c>
      <c r="I52" s="37" t="s">
        <v>22</v>
      </c>
      <c r="J52" s="54" t="s">
        <v>35</v>
      </c>
      <c r="K52" s="42" t="s">
        <v>23</v>
      </c>
      <c r="L52" s="36" t="s">
        <v>146</v>
      </c>
      <c r="M52" s="38">
        <v>34567.0</v>
      </c>
      <c r="N52" s="62" t="s">
        <v>25</v>
      </c>
      <c r="O52" s="62" t="s">
        <v>55</v>
      </c>
      <c r="P52" s="43" t="s">
        <v>43</v>
      </c>
    </row>
    <row r="53">
      <c r="A53" s="33">
        <v>1155.0</v>
      </c>
      <c r="B53" s="34">
        <v>1155.0</v>
      </c>
      <c r="C53" s="34">
        <f>IFERROR(__xludf.DUMMYFUNCTION("if(B53&lt;=999,if(B53&lt;=99,IF(B53&lt;=9,join(,""000"",B53),join(,""00"",B53)),join(,""0"",B53)),B53)"),1155.0)</f>
        <v>1155</v>
      </c>
      <c r="D53" s="35" t="s">
        <v>147</v>
      </c>
      <c r="E53" s="34" t="s">
        <v>20</v>
      </c>
      <c r="F53" s="34" t="str">
        <f t="shared" si="1"/>
        <v>#REF!</v>
      </c>
      <c r="G53" s="34" t="str">
        <f t="shared" si="2"/>
        <v>#REF!</v>
      </c>
      <c r="H53" s="36" t="s">
        <v>21</v>
      </c>
      <c r="I53" s="37" t="s">
        <v>99</v>
      </c>
      <c r="J53" s="36" t="s">
        <v>20</v>
      </c>
      <c r="K53" s="38" t="s">
        <v>148</v>
      </c>
      <c r="L53" s="38" t="s">
        <v>149</v>
      </c>
      <c r="M53" s="38" t="e">
        <v>#N/A</v>
      </c>
      <c r="N53" s="38" t="s">
        <v>25</v>
      </c>
      <c r="O53" s="38" t="s">
        <v>55</v>
      </c>
      <c r="P53" s="39" t="s">
        <v>56</v>
      </c>
    </row>
    <row r="54">
      <c r="A54" s="51">
        <v>1464.0</v>
      </c>
      <c r="B54" s="51">
        <v>1464.0</v>
      </c>
      <c r="C54" s="34">
        <f>IFERROR(__xludf.DUMMYFUNCTION("if(B54&lt;=999,if(B54&lt;=99,IF(B54&lt;=9,join(,""000"",B54),join(,""00"",B54)),join(,""0"",B54)),B54)"),1464.0)</f>
        <v>1464</v>
      </c>
      <c r="D54" s="52" t="s">
        <v>150</v>
      </c>
      <c r="E54" s="53" t="s">
        <v>20</v>
      </c>
      <c r="F54" s="34" t="str">
        <f t="shared" si="1"/>
        <v>#REF!</v>
      </c>
      <c r="G54" s="34" t="str">
        <f t="shared" si="2"/>
        <v>#REF!</v>
      </c>
      <c r="H54" s="54" t="s">
        <v>21</v>
      </c>
      <c r="I54" s="37" t="s">
        <v>22</v>
      </c>
      <c r="J54" s="54" t="s">
        <v>35</v>
      </c>
      <c r="K54" s="42"/>
      <c r="L54" s="42"/>
      <c r="M54" s="38" t="s">
        <v>151</v>
      </c>
      <c r="N54" s="42"/>
      <c r="O54" s="42"/>
      <c r="P54" s="43" t="s">
        <v>152</v>
      </c>
    </row>
    <row r="55">
      <c r="A55" s="33">
        <v>1038.0</v>
      </c>
      <c r="B55" s="34">
        <v>1038.0</v>
      </c>
      <c r="C55" s="34">
        <f>IFERROR(__xludf.DUMMYFUNCTION("if(B55&lt;=999,if(B55&lt;=99,IF(B55&lt;=9,join(,""000"",B55),join(,""00"",B55)),join(,""0"",B55)),B55)"),1038.0)</f>
        <v>1038</v>
      </c>
      <c r="D55" s="35" t="s">
        <v>153</v>
      </c>
      <c r="E55" s="34" t="s">
        <v>20</v>
      </c>
      <c r="F55" s="34" t="str">
        <f t="shared" si="1"/>
        <v>#REF!</v>
      </c>
      <c r="G55" s="34" t="str">
        <f t="shared" si="2"/>
        <v>#REF!</v>
      </c>
      <c r="H55" s="36" t="s">
        <v>21</v>
      </c>
      <c r="I55" s="37" t="s">
        <v>22</v>
      </c>
      <c r="J55" s="36" t="s">
        <v>35</v>
      </c>
      <c r="K55" s="38"/>
      <c r="L55" s="42"/>
      <c r="M55" s="38">
        <v>16.0</v>
      </c>
      <c r="N55" s="38"/>
      <c r="O55" s="38"/>
      <c r="P55" s="39" t="s">
        <v>154</v>
      </c>
    </row>
    <row r="56">
      <c r="A56" s="51">
        <v>519.0</v>
      </c>
      <c r="B56" s="51">
        <v>519.0</v>
      </c>
      <c r="C56" s="34" t="str">
        <f>IFERROR(__xludf.DUMMYFUNCTION("if(B56&lt;=999,if(B56&lt;=99,IF(B56&lt;=9,join(,""000"",B56),join(,""00"",B56)),join(,""0"",B56)),B56)"),"0519")</f>
        <v>0519</v>
      </c>
      <c r="D56" s="52" t="s">
        <v>155</v>
      </c>
      <c r="E56" s="53" t="s">
        <v>20</v>
      </c>
      <c r="F56" s="34" t="str">
        <f t="shared" si="1"/>
        <v>#REF!</v>
      </c>
      <c r="G56" s="34" t="str">
        <f t="shared" si="2"/>
        <v>#REF!</v>
      </c>
      <c r="H56" s="54" t="s">
        <v>21</v>
      </c>
      <c r="I56" s="37" t="s">
        <v>34</v>
      </c>
      <c r="J56" s="54" t="s">
        <v>35</v>
      </c>
      <c r="K56" s="42" t="s">
        <v>95</v>
      </c>
      <c r="L56" s="36" t="s">
        <v>156</v>
      </c>
      <c r="M56" s="38" t="s">
        <v>157</v>
      </c>
      <c r="N56" s="62" t="s">
        <v>25</v>
      </c>
      <c r="O56" s="62" t="s">
        <v>158</v>
      </c>
      <c r="P56" s="43" t="s">
        <v>159</v>
      </c>
    </row>
    <row r="57">
      <c r="A57" s="51">
        <v>747.0</v>
      </c>
      <c r="B57" s="51">
        <v>747.0</v>
      </c>
      <c r="C57" s="34" t="str">
        <f>IFERROR(__xludf.DUMMYFUNCTION("if(B57&lt;=999,if(B57&lt;=99,IF(B57&lt;=9,join(,""000"",B57),join(,""00"",B57)),join(,""0"",B57)),B57)"),"0747")</f>
        <v>0747</v>
      </c>
      <c r="D57" s="52" t="s">
        <v>160</v>
      </c>
      <c r="E57" s="53" t="s">
        <v>20</v>
      </c>
      <c r="F57" s="34" t="str">
        <f t="shared" si="1"/>
        <v>#REF!</v>
      </c>
      <c r="G57" s="34" t="str">
        <f t="shared" si="2"/>
        <v>#REF!</v>
      </c>
      <c r="H57" s="54" t="s">
        <v>21</v>
      </c>
      <c r="I57" s="37" t="s">
        <v>22</v>
      </c>
      <c r="J57" s="54" t="s">
        <v>35</v>
      </c>
      <c r="K57" s="42" t="s">
        <v>95</v>
      </c>
      <c r="L57" s="36" t="s">
        <v>156</v>
      </c>
      <c r="M57" s="38" t="s">
        <v>157</v>
      </c>
      <c r="N57" s="62" t="s">
        <v>25</v>
      </c>
      <c r="O57" s="62" t="s">
        <v>158</v>
      </c>
      <c r="P57" s="43" t="s">
        <v>159</v>
      </c>
    </row>
    <row r="58">
      <c r="A58" s="33">
        <v>649.0</v>
      </c>
      <c r="B58" s="34">
        <v>649.0</v>
      </c>
      <c r="C58" s="34" t="str">
        <f>IFERROR(__xludf.DUMMYFUNCTION("if(B58&lt;=999,if(B58&lt;=99,IF(B58&lt;=9,join(,""000"",B58),join(,""00"",B58)),join(,""0"",B58)),B58)"),"0649")</f>
        <v>0649</v>
      </c>
      <c r="D58" s="35" t="s">
        <v>161</v>
      </c>
      <c r="E58" s="34" t="s">
        <v>20</v>
      </c>
      <c r="F58" s="34" t="str">
        <f t="shared" si="1"/>
        <v>#REF!</v>
      </c>
      <c r="G58" s="34" t="str">
        <f t="shared" si="2"/>
        <v>#REF!</v>
      </c>
      <c r="H58" s="36" t="s">
        <v>21</v>
      </c>
      <c r="I58" s="37" t="s">
        <v>73</v>
      </c>
      <c r="J58" s="36" t="s">
        <v>35</v>
      </c>
      <c r="K58" s="42" t="s">
        <v>95</v>
      </c>
      <c r="L58" s="36" t="s">
        <v>162</v>
      </c>
      <c r="M58" s="64" t="s">
        <v>25</v>
      </c>
      <c r="N58" s="65" t="s">
        <v>25</v>
      </c>
      <c r="O58" s="62" t="s">
        <v>163</v>
      </c>
      <c r="P58" s="43" t="s">
        <v>66</v>
      </c>
    </row>
    <row r="59">
      <c r="A59" s="51">
        <v>20.0</v>
      </c>
      <c r="B59" s="51">
        <v>20.0</v>
      </c>
      <c r="C59" s="34" t="str">
        <f>IFERROR(__xludf.DUMMYFUNCTION("if(B59&lt;=999,if(B59&lt;=99,IF(B59&lt;=9,join(,""000"",B59),join(,""00"",B59)),join(,""0"",B59)),B59)"),"0020")</f>
        <v>0020</v>
      </c>
      <c r="D59" s="52" t="s">
        <v>164</v>
      </c>
      <c r="E59" s="53" t="s">
        <v>20</v>
      </c>
      <c r="F59" s="34" t="str">
        <f t="shared" si="1"/>
        <v>#REF!</v>
      </c>
      <c r="G59" s="34" t="str">
        <f t="shared" si="2"/>
        <v>#REF!</v>
      </c>
      <c r="H59" s="54" t="s">
        <v>21</v>
      </c>
      <c r="I59" s="37" t="s">
        <v>165</v>
      </c>
      <c r="J59" s="36" t="s">
        <v>35</v>
      </c>
      <c r="K59" s="42" t="s">
        <v>95</v>
      </c>
      <c r="L59" s="36" t="s">
        <v>162</v>
      </c>
      <c r="M59" s="64" t="s">
        <v>25</v>
      </c>
      <c r="N59" s="65" t="s">
        <v>25</v>
      </c>
      <c r="O59" s="62" t="s">
        <v>163</v>
      </c>
      <c r="P59" s="43" t="s">
        <v>66</v>
      </c>
    </row>
    <row r="60">
      <c r="A60" s="51">
        <v>412.0</v>
      </c>
      <c r="B60" s="51">
        <v>412.0</v>
      </c>
      <c r="C60" s="34" t="str">
        <f>IFERROR(__xludf.DUMMYFUNCTION("if(B60&lt;=999,if(B60&lt;=99,IF(B60&lt;=9,join(,""000"",B60),join(,""00"",B60)),join(,""0"",B60)),B60)"),"0412")</f>
        <v>0412</v>
      </c>
      <c r="D60" s="52" t="s">
        <v>166</v>
      </c>
      <c r="E60" s="53" t="s">
        <v>20</v>
      </c>
      <c r="F60" s="34" t="str">
        <f t="shared" si="1"/>
        <v>#REF!</v>
      </c>
      <c r="G60" s="34" t="str">
        <f t="shared" si="2"/>
        <v>#REF!</v>
      </c>
      <c r="H60" s="54" t="s">
        <v>21</v>
      </c>
      <c r="I60" s="37" t="s">
        <v>73</v>
      </c>
      <c r="J60" s="36" t="s">
        <v>35</v>
      </c>
      <c r="K60" s="42" t="s">
        <v>95</v>
      </c>
      <c r="L60" s="36" t="s">
        <v>162</v>
      </c>
      <c r="M60" s="64" t="s">
        <v>25</v>
      </c>
      <c r="N60" s="65" t="s">
        <v>25</v>
      </c>
      <c r="O60" s="62" t="s">
        <v>163</v>
      </c>
      <c r="P60" s="43" t="s">
        <v>66</v>
      </c>
    </row>
    <row r="61">
      <c r="A61" s="33">
        <v>363.0</v>
      </c>
      <c r="B61" s="34">
        <v>363.0</v>
      </c>
      <c r="C61" s="34" t="str">
        <f>IFERROR(__xludf.DUMMYFUNCTION("if(B61&lt;=999,if(B61&lt;=99,IF(B61&lt;=9,join(,""000"",B61),join(,""00"",B61)),join(,""0"",B61)),B61)"),"0363")</f>
        <v>0363</v>
      </c>
      <c r="D61" s="35" t="s">
        <v>167</v>
      </c>
      <c r="E61" s="34" t="s">
        <v>20</v>
      </c>
      <c r="F61" s="34" t="str">
        <f t="shared" si="1"/>
        <v>#REF!</v>
      </c>
      <c r="G61" s="34" t="str">
        <f t="shared" si="2"/>
        <v>#REF!</v>
      </c>
      <c r="H61" s="36" t="s">
        <v>21</v>
      </c>
      <c r="I61" s="37" t="s">
        <v>73</v>
      </c>
      <c r="J61" s="36" t="s">
        <v>35</v>
      </c>
      <c r="K61" s="42" t="s">
        <v>95</v>
      </c>
      <c r="L61" s="36" t="s">
        <v>162</v>
      </c>
      <c r="M61" s="64" t="s">
        <v>25</v>
      </c>
      <c r="N61" s="65" t="s">
        <v>25</v>
      </c>
      <c r="O61" s="62" t="s">
        <v>163</v>
      </c>
      <c r="P61" s="43" t="s">
        <v>66</v>
      </c>
    </row>
    <row r="62">
      <c r="A62" s="51">
        <v>1141.0</v>
      </c>
      <c r="B62" s="51">
        <v>1141.0</v>
      </c>
      <c r="C62" s="34">
        <f>IFERROR(__xludf.DUMMYFUNCTION("if(B62&lt;=999,if(B62&lt;=99,IF(B62&lt;=9,join(,""000"",B62),join(,""00"",B62)),join(,""0"",B62)),B62)"),1141.0)</f>
        <v>1141</v>
      </c>
      <c r="D62" s="52" t="s">
        <v>168</v>
      </c>
      <c r="E62" s="53" t="s">
        <v>20</v>
      </c>
      <c r="F62" s="34" t="str">
        <f t="shared" si="1"/>
        <v>#REF!</v>
      </c>
      <c r="G62" s="34" t="str">
        <f t="shared" si="2"/>
        <v>#REF!</v>
      </c>
      <c r="H62" s="54" t="s">
        <v>21</v>
      </c>
      <c r="I62" s="37" t="s">
        <v>99</v>
      </c>
      <c r="J62" s="54" t="s">
        <v>35</v>
      </c>
      <c r="K62" s="42"/>
      <c r="L62" s="42"/>
      <c r="M62" s="38" t="s">
        <v>169</v>
      </c>
      <c r="N62" s="42"/>
      <c r="O62" s="42"/>
      <c r="P62" s="43" t="s">
        <v>43</v>
      </c>
    </row>
    <row r="63">
      <c r="A63" s="51">
        <v>746.0</v>
      </c>
      <c r="B63" s="51">
        <v>746.0</v>
      </c>
      <c r="C63" s="34" t="str">
        <f>IFERROR(__xludf.DUMMYFUNCTION("if(B63&lt;=999,if(B63&lt;=99,IF(B63&lt;=9,join(,""000"",B63),join(,""00"",B63)),join(,""0"",B63)),B63)"),"0746")</f>
        <v>0746</v>
      </c>
      <c r="D63" s="52" t="s">
        <v>170</v>
      </c>
      <c r="E63" s="53" t="s">
        <v>20</v>
      </c>
      <c r="F63" s="34" t="str">
        <f t="shared" si="1"/>
        <v>#REF!</v>
      </c>
      <c r="G63" s="34" t="str">
        <f t="shared" si="2"/>
        <v>#REF!</v>
      </c>
      <c r="H63" s="54" t="s">
        <v>21</v>
      </c>
      <c r="I63" s="37" t="s">
        <v>99</v>
      </c>
      <c r="J63" s="54" t="s">
        <v>35</v>
      </c>
      <c r="K63" s="42"/>
      <c r="L63" s="42"/>
      <c r="M63" s="38" t="s">
        <v>171</v>
      </c>
      <c r="N63" s="42"/>
      <c r="O63" s="42"/>
      <c r="P63" s="43" t="s">
        <v>43</v>
      </c>
    </row>
    <row r="64">
      <c r="A64" s="51">
        <v>1209.0</v>
      </c>
      <c r="B64" s="51">
        <v>1209.0</v>
      </c>
      <c r="C64" s="34">
        <f>IFERROR(__xludf.DUMMYFUNCTION("if(B64&lt;=999,if(B64&lt;=99,IF(B64&lt;=9,join(,""000"",B64),join(,""00"",B64)),join(,""0"",B64)),B64)"),1209.0)</f>
        <v>1209</v>
      </c>
      <c r="D64" s="52" t="s">
        <v>172</v>
      </c>
      <c r="E64" s="53" t="s">
        <v>20</v>
      </c>
      <c r="F64" s="34" t="str">
        <f t="shared" si="1"/>
        <v>#REF!</v>
      </c>
      <c r="G64" s="34" t="str">
        <f t="shared" si="2"/>
        <v>#REF!</v>
      </c>
      <c r="H64" s="54" t="s">
        <v>21</v>
      </c>
      <c r="I64" s="37" t="s">
        <v>73</v>
      </c>
      <c r="J64" s="54" t="s">
        <v>35</v>
      </c>
      <c r="K64" s="42" t="s">
        <v>95</v>
      </c>
      <c r="L64" s="42" t="s">
        <v>173</v>
      </c>
      <c r="M64" s="38"/>
      <c r="N64" s="42" t="s">
        <v>25</v>
      </c>
      <c r="O64" s="42" t="s">
        <v>163</v>
      </c>
      <c r="P64" s="43" t="s">
        <v>66</v>
      </c>
    </row>
    <row r="65">
      <c r="A65" s="33">
        <v>398.0</v>
      </c>
      <c r="B65" s="34">
        <v>398.0</v>
      </c>
      <c r="C65" s="34" t="str">
        <f>IFERROR(__xludf.DUMMYFUNCTION("if(B65&lt;=999,if(B65&lt;=99,IF(B65&lt;=9,join(,""000"",B65),join(,""00"",B65)),join(,""0"",B65)),B65)"),"0398")</f>
        <v>0398</v>
      </c>
      <c r="D65" s="35" t="s">
        <v>174</v>
      </c>
      <c r="E65" s="34" t="s">
        <v>20</v>
      </c>
      <c r="F65" s="34" t="str">
        <f t="shared" si="1"/>
        <v>#REF!</v>
      </c>
      <c r="G65" s="34" t="str">
        <f t="shared" si="2"/>
        <v>#REF!</v>
      </c>
      <c r="H65" s="36" t="s">
        <v>21</v>
      </c>
      <c r="I65" s="37" t="s">
        <v>22</v>
      </c>
      <c r="J65" s="36" t="s">
        <v>35</v>
      </c>
      <c r="K65" s="38"/>
      <c r="L65" s="42"/>
      <c r="M65" s="38" t="e">
        <v>#N/A</v>
      </c>
      <c r="N65" s="38"/>
      <c r="O65" s="38"/>
      <c r="P65" s="39" t="s">
        <v>43</v>
      </c>
    </row>
    <row r="66">
      <c r="A66" s="51">
        <v>1036.0</v>
      </c>
      <c r="B66" s="51">
        <v>1036.0</v>
      </c>
      <c r="C66" s="34">
        <f>IFERROR(__xludf.DUMMYFUNCTION("if(B66&lt;=999,if(B66&lt;=99,IF(B66&lt;=9,join(,""000"",B66),join(,""00"",B66)),join(,""0"",B66)),B66)"),1036.0)</f>
        <v>1036</v>
      </c>
      <c r="D66" s="52" t="s">
        <v>175</v>
      </c>
      <c r="E66" s="53" t="s">
        <v>20</v>
      </c>
      <c r="F66" s="34" t="str">
        <f t="shared" si="1"/>
        <v>#REF!</v>
      </c>
      <c r="G66" s="34" t="str">
        <f t="shared" si="2"/>
        <v>#REF!</v>
      </c>
      <c r="H66" s="54" t="s">
        <v>21</v>
      </c>
      <c r="I66" s="37" t="s">
        <v>77</v>
      </c>
      <c r="J66" s="54" t="s">
        <v>35</v>
      </c>
      <c r="K66" s="42" t="s">
        <v>95</v>
      </c>
      <c r="L66" s="36">
        <v>1.921681002E9</v>
      </c>
      <c r="M66" s="38">
        <v>16.0</v>
      </c>
      <c r="N66" s="42" t="s">
        <v>25</v>
      </c>
      <c r="O66" s="42" t="s">
        <v>55</v>
      </c>
      <c r="P66" s="39" t="s">
        <v>176</v>
      </c>
    </row>
    <row r="67">
      <c r="A67" s="33">
        <v>1107.0</v>
      </c>
      <c r="B67" s="34">
        <v>1107.0</v>
      </c>
      <c r="C67" s="34">
        <f>IFERROR(__xludf.DUMMYFUNCTION("if(B67&lt;=999,if(B67&lt;=99,IF(B67&lt;=9,join(,""000"",B67),join(,""00"",B67)),join(,""0"",B67)),B67)"),1107.0)</f>
        <v>1107</v>
      </c>
      <c r="D67" s="35" t="s">
        <v>177</v>
      </c>
      <c r="E67" s="34" t="s">
        <v>20</v>
      </c>
      <c r="F67" s="34" t="str">
        <f t="shared" si="1"/>
        <v>#REF!</v>
      </c>
      <c r="G67" s="34" t="str">
        <f t="shared" si="2"/>
        <v>#REF!</v>
      </c>
      <c r="H67" s="36" t="s">
        <v>21</v>
      </c>
      <c r="I67" s="37" t="s">
        <v>101</v>
      </c>
      <c r="J67" s="36" t="s">
        <v>35</v>
      </c>
      <c r="K67" s="38"/>
      <c r="L67" s="42"/>
      <c r="M67" s="38" t="s">
        <v>178</v>
      </c>
      <c r="N67" s="38"/>
      <c r="O67" s="38"/>
      <c r="P67" s="39" t="s">
        <v>179</v>
      </c>
    </row>
    <row r="68">
      <c r="A68" s="51">
        <v>1294.0</v>
      </c>
      <c r="B68" s="51">
        <v>1294.0</v>
      </c>
      <c r="C68" s="34">
        <f>IFERROR(__xludf.DUMMYFUNCTION("if(B68&lt;=999,if(B68&lt;=99,IF(B68&lt;=9,join(,""000"",B68),join(,""00"",B68)),join(,""0"",B68)),B68)"),1294.0)</f>
        <v>1294</v>
      </c>
      <c r="D68" s="52" t="s">
        <v>180</v>
      </c>
      <c r="E68" s="53" t="s">
        <v>20</v>
      </c>
      <c r="F68" s="34" t="str">
        <f t="shared" si="1"/>
        <v>#REF!</v>
      </c>
      <c r="G68" s="34" t="str">
        <f t="shared" si="2"/>
        <v>#REF!</v>
      </c>
      <c r="H68" s="54" t="s">
        <v>21</v>
      </c>
      <c r="I68" s="37" t="s">
        <v>99</v>
      </c>
      <c r="J68" s="54" t="s">
        <v>20</v>
      </c>
      <c r="K68" s="42" t="s">
        <v>95</v>
      </c>
      <c r="L68" s="66" t="s">
        <v>181</v>
      </c>
      <c r="M68" s="38">
        <v>25001.0</v>
      </c>
      <c r="N68" s="42" t="s">
        <v>25</v>
      </c>
      <c r="O68" s="42">
        <v>123.0</v>
      </c>
      <c r="P68" s="43" t="s">
        <v>182</v>
      </c>
    </row>
    <row r="69">
      <c r="A69" s="33">
        <v>1213.0</v>
      </c>
      <c r="B69" s="34">
        <v>1213.0</v>
      </c>
      <c r="C69" s="34">
        <f>IFERROR(__xludf.DUMMYFUNCTION("if(B69&lt;=999,if(B69&lt;=99,IF(B69&lt;=9,join(,""000"",B69),join(,""00"",B69)),join(,""0"",B69)),B69)"),1213.0)</f>
        <v>1213</v>
      </c>
      <c r="D69" s="35" t="s">
        <v>183</v>
      </c>
      <c r="E69" s="34" t="s">
        <v>20</v>
      </c>
      <c r="F69" s="34" t="str">
        <f t="shared" si="1"/>
        <v>#REF!</v>
      </c>
      <c r="G69" s="34" t="str">
        <f t="shared" si="2"/>
        <v>#REF!</v>
      </c>
      <c r="H69" s="36" t="s">
        <v>21</v>
      </c>
      <c r="I69" s="37" t="s">
        <v>99</v>
      </c>
      <c r="J69" s="36" t="s">
        <v>20</v>
      </c>
      <c r="K69" s="42" t="s">
        <v>95</v>
      </c>
      <c r="L69" s="66" t="s">
        <v>181</v>
      </c>
      <c r="M69" s="38">
        <v>25001.0</v>
      </c>
      <c r="N69" s="42" t="s">
        <v>25</v>
      </c>
      <c r="O69" s="42">
        <v>123.0</v>
      </c>
      <c r="P69" s="43" t="s">
        <v>182</v>
      </c>
    </row>
    <row r="70">
      <c r="A70" s="51">
        <v>539.0</v>
      </c>
      <c r="B70" s="51">
        <v>539.0</v>
      </c>
      <c r="C70" s="34" t="str">
        <f>IFERROR(__xludf.DUMMYFUNCTION("if(B70&lt;=999,if(B70&lt;=99,IF(B70&lt;=9,join(,""000"",B70),join(,""00"",B70)),join(,""0"",B70)),B70)"),"0539")</f>
        <v>0539</v>
      </c>
      <c r="D70" s="52" t="s">
        <v>184</v>
      </c>
      <c r="E70" s="53" t="s">
        <v>20</v>
      </c>
      <c r="F70" s="34" t="str">
        <f t="shared" si="1"/>
        <v>#REF!</v>
      </c>
      <c r="G70" s="34" t="str">
        <f t="shared" si="2"/>
        <v>#REF!</v>
      </c>
      <c r="H70" s="54" t="s">
        <v>21</v>
      </c>
      <c r="I70" s="37" t="s">
        <v>77</v>
      </c>
      <c r="J70" s="54" t="s">
        <v>35</v>
      </c>
      <c r="K70" s="42"/>
      <c r="L70" s="42"/>
      <c r="M70" s="38">
        <v>80.0</v>
      </c>
      <c r="N70" s="42"/>
      <c r="O70" s="42"/>
      <c r="P70" s="43" t="s">
        <v>43</v>
      </c>
    </row>
    <row r="71">
      <c r="A71" s="51">
        <v>535.0</v>
      </c>
      <c r="B71" s="51">
        <v>535.0</v>
      </c>
      <c r="C71" s="34" t="str">
        <f>IFERROR(__xludf.DUMMYFUNCTION("if(B71&lt;=999,if(B71&lt;=99,IF(B71&lt;=9,join(,""000"",B71),join(,""00"",B71)),join(,""0"",B71)),B71)"),"0535")</f>
        <v>0535</v>
      </c>
      <c r="D71" s="52" t="s">
        <v>185</v>
      </c>
      <c r="E71" s="53" t="s">
        <v>20</v>
      </c>
      <c r="F71" s="34" t="str">
        <f t="shared" si="1"/>
        <v>#REF!</v>
      </c>
      <c r="G71" s="34" t="str">
        <f t="shared" si="2"/>
        <v>#REF!</v>
      </c>
      <c r="H71" s="54" t="s">
        <v>21</v>
      </c>
      <c r="I71" s="37" t="s">
        <v>63</v>
      </c>
      <c r="J71" s="54" t="s">
        <v>20</v>
      </c>
      <c r="K71" s="42" t="s">
        <v>186</v>
      </c>
      <c r="L71" s="43" t="s">
        <v>187</v>
      </c>
      <c r="M71" s="38" t="e">
        <v>#N/A</v>
      </c>
      <c r="N71" s="42" t="s">
        <v>25</v>
      </c>
      <c r="O71" s="42" t="s">
        <v>188</v>
      </c>
      <c r="P71" s="43" t="s">
        <v>56</v>
      </c>
    </row>
    <row r="72">
      <c r="A72" s="51">
        <v>1311.0</v>
      </c>
      <c r="B72" s="51">
        <v>1311.0</v>
      </c>
      <c r="C72" s="34">
        <f>IFERROR(__xludf.DUMMYFUNCTION("if(B72&lt;=999,if(B72&lt;=99,IF(B72&lt;=9,join(,""000"",B72),join(,""00"",B72)),join(,""0"",B72)),B72)"),1311.0)</f>
        <v>1311</v>
      </c>
      <c r="D72" s="52" t="s">
        <v>189</v>
      </c>
      <c r="E72" s="53" t="s">
        <v>20</v>
      </c>
      <c r="F72" s="34" t="str">
        <f t="shared" si="1"/>
        <v>#REF!</v>
      </c>
      <c r="G72" s="34" t="str">
        <f t="shared" si="2"/>
        <v>#REF!</v>
      </c>
      <c r="H72" s="54" t="s">
        <v>21</v>
      </c>
      <c r="I72" s="37" t="s">
        <v>73</v>
      </c>
      <c r="J72" s="54" t="s">
        <v>35</v>
      </c>
      <c r="K72" s="36" t="s">
        <v>190</v>
      </c>
      <c r="L72" s="36" t="s">
        <v>191</v>
      </c>
      <c r="M72" s="38" t="s">
        <v>35</v>
      </c>
      <c r="N72" s="62" t="s">
        <v>25</v>
      </c>
      <c r="O72" s="62" t="s">
        <v>192</v>
      </c>
      <c r="P72" s="43" t="s">
        <v>66</v>
      </c>
    </row>
    <row r="73">
      <c r="A73" s="51">
        <v>668.0</v>
      </c>
      <c r="B73" s="51">
        <v>668.0</v>
      </c>
      <c r="C73" s="34" t="str">
        <f>IFERROR(__xludf.DUMMYFUNCTION("if(B73&lt;=999,if(B73&lt;=99,IF(B73&lt;=9,join(,""000"",B73),join(,""00"",B73)),join(,""0"",B73)),B73)"),"0668")</f>
        <v>0668</v>
      </c>
      <c r="D73" s="52" t="s">
        <v>193</v>
      </c>
      <c r="E73" s="53" t="s">
        <v>20</v>
      </c>
      <c r="F73" s="34" t="str">
        <f t="shared" si="1"/>
        <v>#REF!</v>
      </c>
      <c r="G73" s="34" t="str">
        <f t="shared" si="2"/>
        <v>#REF!</v>
      </c>
      <c r="H73" s="54" t="s">
        <v>21</v>
      </c>
      <c r="I73" s="37" t="s">
        <v>34</v>
      </c>
      <c r="J73" s="54" t="s">
        <v>35</v>
      </c>
      <c r="K73" s="42"/>
      <c r="L73" s="42"/>
      <c r="M73" s="38">
        <v>16.0</v>
      </c>
      <c r="N73" s="42"/>
      <c r="O73" s="42"/>
      <c r="P73" s="43" t="s">
        <v>43</v>
      </c>
    </row>
    <row r="74">
      <c r="A74" s="55">
        <v>1341.0</v>
      </c>
      <c r="B74" s="55">
        <v>1341.0</v>
      </c>
      <c r="C74" s="45">
        <f>IFERROR(__xludf.DUMMYFUNCTION("if(B74&lt;=999,if(B74&lt;=99,IF(B74&lt;=9,join(,""000"",B74),join(,""00"",B74)),join(,""0"",B74)),B74)"),1341.0)</f>
        <v>1341</v>
      </c>
      <c r="D74" s="56" t="s">
        <v>194</v>
      </c>
      <c r="E74" s="55" t="s">
        <v>20</v>
      </c>
      <c r="F74" s="45" t="str">
        <f t="shared" si="1"/>
        <v>#REF!</v>
      </c>
      <c r="G74" s="45" t="str">
        <f t="shared" si="2"/>
        <v>#REF!</v>
      </c>
      <c r="H74" s="57" t="s">
        <v>21</v>
      </c>
      <c r="I74" s="48" t="s">
        <v>77</v>
      </c>
      <c r="J74" s="57" t="s">
        <v>35</v>
      </c>
      <c r="K74" s="60" t="s">
        <v>195</v>
      </c>
      <c r="L74" s="47" t="s">
        <v>196</v>
      </c>
      <c r="M74" s="49" t="s">
        <v>197</v>
      </c>
      <c r="N74" s="58" t="s">
        <v>25</v>
      </c>
      <c r="O74" s="58" t="s">
        <v>163</v>
      </c>
      <c r="P74" s="61" t="s">
        <v>87</v>
      </c>
    </row>
    <row r="75">
      <c r="A75" s="33">
        <v>1403.0</v>
      </c>
      <c r="B75" s="34">
        <v>1403.0</v>
      </c>
      <c r="C75" s="34">
        <f>IFERROR(__xludf.DUMMYFUNCTION("if(B75&lt;=999,if(B75&lt;=99,IF(B75&lt;=9,join(,""000"",B75),join(,""00"",B75)),join(,""0"",B75)),B75)"),1403.0)</f>
        <v>1403</v>
      </c>
      <c r="D75" s="35" t="s">
        <v>198</v>
      </c>
      <c r="E75" s="34" t="s">
        <v>20</v>
      </c>
      <c r="F75" s="34" t="str">
        <f t="shared" si="1"/>
        <v>#REF!</v>
      </c>
      <c r="G75" s="34" t="str">
        <f t="shared" si="2"/>
        <v>#REF!</v>
      </c>
      <c r="H75" s="36" t="s">
        <v>21</v>
      </c>
      <c r="I75" s="37" t="s">
        <v>34</v>
      </c>
      <c r="J75" s="36" t="s">
        <v>35</v>
      </c>
      <c r="K75" s="38"/>
      <c r="L75" s="42"/>
      <c r="M75" s="38">
        <v>37777.0</v>
      </c>
      <c r="N75" s="38"/>
      <c r="O75" s="38"/>
      <c r="P75" s="39"/>
    </row>
    <row r="76">
      <c r="A76" s="55">
        <v>1265.0</v>
      </c>
      <c r="B76" s="55">
        <v>1265.0</v>
      </c>
      <c r="C76" s="45">
        <f>IFERROR(__xludf.DUMMYFUNCTION("if(B76&lt;=999,if(B76&lt;=99,IF(B76&lt;=9,join(,""000"",B76),join(,""00"",B76)),join(,""0"",B76)),B76)"),1265.0)</f>
        <v>1265</v>
      </c>
      <c r="D76" s="56" t="s">
        <v>199</v>
      </c>
      <c r="E76" s="55" t="s">
        <v>20</v>
      </c>
      <c r="F76" s="45" t="str">
        <f t="shared" si="1"/>
        <v>#REF!</v>
      </c>
      <c r="G76" s="45" t="str">
        <f t="shared" si="2"/>
        <v>#REF!</v>
      </c>
      <c r="H76" s="57" t="s">
        <v>21</v>
      </c>
      <c r="I76" s="48" t="s">
        <v>73</v>
      </c>
      <c r="J76" s="57" t="s">
        <v>35</v>
      </c>
      <c r="K76" s="60"/>
      <c r="L76" s="60" t="s">
        <v>200</v>
      </c>
      <c r="M76" s="49">
        <v>8.0</v>
      </c>
      <c r="N76" s="60" t="s">
        <v>25</v>
      </c>
      <c r="O76" s="60" t="s">
        <v>55</v>
      </c>
      <c r="P76" s="61" t="s">
        <v>201</v>
      </c>
    </row>
    <row r="77">
      <c r="A77" s="51">
        <v>1104.0</v>
      </c>
      <c r="B77" s="51">
        <v>1104.0</v>
      </c>
      <c r="C77" s="34">
        <f>IFERROR(__xludf.DUMMYFUNCTION("if(B77&lt;=999,if(B77&lt;=99,IF(B77&lt;=9,join(,""000"",B77),join(,""00"",B77)),join(,""0"",B77)),B77)"),1104.0)</f>
        <v>1104</v>
      </c>
      <c r="D77" s="52" t="s">
        <v>202</v>
      </c>
      <c r="E77" s="53" t="s">
        <v>20</v>
      </c>
      <c r="F77" s="34" t="str">
        <f t="shared" si="1"/>
        <v>#REF!</v>
      </c>
      <c r="G77" s="34" t="str">
        <f t="shared" si="2"/>
        <v>#REF!</v>
      </c>
      <c r="H77" s="54" t="s">
        <v>21</v>
      </c>
      <c r="I77" s="37" t="s">
        <v>34</v>
      </c>
      <c r="J77" s="54" t="s">
        <v>35</v>
      </c>
      <c r="K77" s="42"/>
      <c r="L77" s="42"/>
      <c r="M77" s="38">
        <v>8.0</v>
      </c>
      <c r="N77" s="42"/>
      <c r="O77" s="42"/>
      <c r="P77" s="43" t="s">
        <v>43</v>
      </c>
    </row>
    <row r="78">
      <c r="A78" s="51">
        <v>1030.0</v>
      </c>
      <c r="B78" s="51">
        <v>1030.0</v>
      </c>
      <c r="C78" s="34">
        <f>IFERROR(__xludf.DUMMYFUNCTION("if(B78&lt;=999,if(B78&lt;=99,IF(B78&lt;=9,join(,""000"",B78),join(,""00"",B78)),join(,""0"",B78)),B78)"),1030.0)</f>
        <v>1030</v>
      </c>
      <c r="D78" s="52" t="s">
        <v>203</v>
      </c>
      <c r="E78" s="53" t="s">
        <v>20</v>
      </c>
      <c r="F78" s="34" t="str">
        <f t="shared" si="1"/>
        <v>#REF!</v>
      </c>
      <c r="G78" s="34" t="str">
        <f t="shared" si="2"/>
        <v>#REF!</v>
      </c>
      <c r="H78" s="54" t="s">
        <v>21</v>
      </c>
      <c r="I78" s="37" t="s">
        <v>34</v>
      </c>
      <c r="J78" s="54" t="s">
        <v>35</v>
      </c>
      <c r="K78" s="42"/>
      <c r="L78" s="42"/>
      <c r="M78" s="38">
        <v>443.0</v>
      </c>
      <c r="N78" s="42"/>
      <c r="O78" s="42"/>
      <c r="P78" s="43" t="s">
        <v>204</v>
      </c>
    </row>
    <row r="79">
      <c r="A79" s="55">
        <v>1426.0</v>
      </c>
      <c r="B79" s="55">
        <v>1426.0</v>
      </c>
      <c r="C79" s="45">
        <f>IFERROR(__xludf.DUMMYFUNCTION("if(B79&lt;=999,if(B79&lt;=99,IF(B79&lt;=9,join(,""000"",B79),join(,""00"",B79)),join(,""0"",B79)),B79)"),1426.0)</f>
        <v>1426</v>
      </c>
      <c r="D79" s="56" t="s">
        <v>205</v>
      </c>
      <c r="E79" s="55" t="s">
        <v>20</v>
      </c>
      <c r="F79" s="45" t="str">
        <f t="shared" si="1"/>
        <v>#REF!</v>
      </c>
      <c r="G79" s="45" t="str">
        <f t="shared" si="2"/>
        <v>#REF!</v>
      </c>
      <c r="H79" s="57" t="s">
        <v>21</v>
      </c>
      <c r="I79" s="48" t="s">
        <v>22</v>
      </c>
      <c r="J79" s="57" t="s">
        <v>35</v>
      </c>
      <c r="K79" s="60"/>
      <c r="L79" s="67" t="s">
        <v>206</v>
      </c>
      <c r="M79" s="49">
        <v>32.0</v>
      </c>
      <c r="N79" s="60" t="s">
        <v>207</v>
      </c>
      <c r="O79" s="60" t="s">
        <v>208</v>
      </c>
      <c r="P79" s="61"/>
    </row>
    <row r="80">
      <c r="A80" s="33">
        <v>1025.0</v>
      </c>
      <c r="B80" s="34">
        <v>1025.0</v>
      </c>
      <c r="C80" s="34">
        <f>IFERROR(__xludf.DUMMYFUNCTION("if(B80&lt;=999,if(B80&lt;=99,IF(B80&lt;=9,join(,""000"",B80),join(,""00"",B80)),join(,""0"",B80)),B80)"),1025.0)</f>
        <v>1025</v>
      </c>
      <c r="D80" s="35" t="s">
        <v>209</v>
      </c>
      <c r="E80" s="34" t="s">
        <v>20</v>
      </c>
      <c r="F80" s="34" t="str">
        <f t="shared" si="1"/>
        <v>#REF!</v>
      </c>
      <c r="G80" s="34" t="str">
        <f t="shared" si="2"/>
        <v>#REF!</v>
      </c>
      <c r="H80" s="36" t="s">
        <v>21</v>
      </c>
      <c r="I80" s="37" t="s">
        <v>22</v>
      </c>
      <c r="J80" s="36" t="s">
        <v>35</v>
      </c>
      <c r="K80" s="38"/>
      <c r="L80" s="42"/>
      <c r="M80" s="38">
        <v>18.0</v>
      </c>
      <c r="N80" s="38"/>
      <c r="O80" s="38"/>
      <c r="P80" s="39" t="s">
        <v>43</v>
      </c>
    </row>
    <row r="81">
      <c r="A81" s="45">
        <v>460.0</v>
      </c>
      <c r="B81" s="45">
        <v>460.0</v>
      </c>
      <c r="C81" s="45" t="str">
        <f>IFERROR(__xludf.DUMMYFUNCTION("if(B81&lt;=999,if(B81&lt;=99,IF(B81&lt;=9,join(,""000"",B81),join(,""00"",B81)),join(,""0"",B81)),B81)"),"0460")</f>
        <v>0460</v>
      </c>
      <c r="D81" s="46" t="s">
        <v>210</v>
      </c>
      <c r="E81" s="45" t="s">
        <v>20</v>
      </c>
      <c r="F81" s="45" t="str">
        <f t="shared" si="1"/>
        <v>#REF!</v>
      </c>
      <c r="G81" s="45" t="str">
        <f t="shared" si="2"/>
        <v>#REF!</v>
      </c>
      <c r="H81" s="47" t="s">
        <v>21</v>
      </c>
      <c r="I81" s="48" t="s">
        <v>63</v>
      </c>
      <c r="J81" s="47" t="s">
        <v>20</v>
      </c>
      <c r="K81" s="49" t="s">
        <v>95</v>
      </c>
      <c r="L81" s="49" t="s">
        <v>211</v>
      </c>
      <c r="M81" s="49">
        <v>8080.0</v>
      </c>
      <c r="N81" s="49" t="s">
        <v>25</v>
      </c>
      <c r="O81" s="49" t="s">
        <v>86</v>
      </c>
      <c r="P81" s="50"/>
    </row>
    <row r="82">
      <c r="A82" s="51">
        <v>792.0</v>
      </c>
      <c r="B82" s="51">
        <v>792.0</v>
      </c>
      <c r="C82" s="34" t="str">
        <f>IFERROR(__xludf.DUMMYFUNCTION("if(B82&lt;=999,if(B82&lt;=99,IF(B82&lt;=9,join(,""000"",B82),join(,""00"",B82)),join(,""0"",B82)),B82)"),"0792")</f>
        <v>0792</v>
      </c>
      <c r="D82" s="52" t="s">
        <v>212</v>
      </c>
      <c r="E82" s="53" t="s">
        <v>20</v>
      </c>
      <c r="F82" s="34" t="str">
        <f t="shared" si="1"/>
        <v>#REF!</v>
      </c>
      <c r="G82" s="34" t="str">
        <f t="shared" si="2"/>
        <v>#REF!</v>
      </c>
      <c r="H82" s="54" t="s">
        <v>21</v>
      </c>
      <c r="I82" s="37" t="s">
        <v>73</v>
      </c>
      <c r="J82" s="54" t="s">
        <v>20</v>
      </c>
      <c r="K82" s="42" t="s">
        <v>28</v>
      </c>
      <c r="L82" s="68" t="s">
        <v>213</v>
      </c>
      <c r="M82" s="38">
        <v>1.0</v>
      </c>
      <c r="N82" s="42" t="s">
        <v>25</v>
      </c>
      <c r="O82" s="42" t="s">
        <v>55</v>
      </c>
      <c r="P82" s="43" t="s">
        <v>56</v>
      </c>
    </row>
    <row r="83">
      <c r="A83" s="51">
        <v>396.0</v>
      </c>
      <c r="B83" s="51">
        <v>396.0</v>
      </c>
      <c r="C83" s="34" t="str">
        <f>IFERROR(__xludf.DUMMYFUNCTION("if(B83&lt;=999,if(B83&lt;=99,IF(B83&lt;=9,join(,""000"",B83),join(,""00"",B83)),join(,""0"",B83)),B83)"),"0396")</f>
        <v>0396</v>
      </c>
      <c r="D83" s="52" t="s">
        <v>214</v>
      </c>
      <c r="E83" s="53" t="s">
        <v>35</v>
      </c>
      <c r="F83" s="34" t="str">
        <f t="shared" si="1"/>
        <v>#REF!</v>
      </c>
      <c r="G83" s="34" t="str">
        <f t="shared" si="2"/>
        <v>#REF!</v>
      </c>
      <c r="H83" s="54" t="s">
        <v>21</v>
      </c>
      <c r="I83" s="44"/>
      <c r="J83" s="54"/>
      <c r="K83" s="42"/>
      <c r="L83" s="42"/>
      <c r="M83" s="38" t="e">
        <v>#N/A</v>
      </c>
      <c r="N83" s="42"/>
      <c r="O83" s="42"/>
      <c r="P83" s="43"/>
    </row>
    <row r="84">
      <c r="A84" s="51">
        <v>1044.0</v>
      </c>
      <c r="B84" s="51">
        <v>1044.0</v>
      </c>
      <c r="C84" s="34">
        <f>IFERROR(__xludf.DUMMYFUNCTION("if(B84&lt;=999,if(B84&lt;=99,IF(B84&lt;=9,join(,""000"",B84),join(,""00"",B84)),join(,""0"",B84)),B84)"),1044.0)</f>
        <v>1044</v>
      </c>
      <c r="D84" s="52" t="s">
        <v>215</v>
      </c>
      <c r="E84" s="53" t="s">
        <v>20</v>
      </c>
      <c r="F84" s="34" t="str">
        <f t="shared" si="1"/>
        <v>#REF!</v>
      </c>
      <c r="G84" s="34" t="str">
        <f t="shared" si="2"/>
        <v>#REF!</v>
      </c>
      <c r="H84" s="54" t="s">
        <v>21</v>
      </c>
      <c r="I84" s="37" t="s">
        <v>99</v>
      </c>
      <c r="J84" s="54" t="s">
        <v>20</v>
      </c>
      <c r="K84" s="42" t="s">
        <v>95</v>
      </c>
      <c r="L84" s="42" t="s">
        <v>216</v>
      </c>
      <c r="M84" s="38">
        <v>16.0</v>
      </c>
      <c r="N84" s="42" t="s">
        <v>25</v>
      </c>
      <c r="O84" s="42" t="s">
        <v>217</v>
      </c>
      <c r="P84" s="43" t="s">
        <v>82</v>
      </c>
    </row>
    <row r="85">
      <c r="A85" s="33">
        <v>730.0</v>
      </c>
      <c r="B85" s="34">
        <v>730.0</v>
      </c>
      <c r="C85" s="34" t="str">
        <f>IFERROR(__xludf.DUMMYFUNCTION("if(B85&lt;=999,if(B85&lt;=99,IF(B85&lt;=9,join(,""000"",B85),join(,""00"",B85)),join(,""0"",B85)),B85)"),"0730")</f>
        <v>0730</v>
      </c>
      <c r="D85" s="35" t="s">
        <v>218</v>
      </c>
      <c r="E85" s="34" t="s">
        <v>20</v>
      </c>
      <c r="F85" s="34" t="str">
        <f t="shared" si="1"/>
        <v>#REF!</v>
      </c>
      <c r="G85" s="34" t="str">
        <f t="shared" si="2"/>
        <v>#REF!</v>
      </c>
      <c r="H85" s="36" t="s">
        <v>21</v>
      </c>
      <c r="I85" s="37" t="s">
        <v>99</v>
      </c>
      <c r="J85" s="36" t="s">
        <v>20</v>
      </c>
      <c r="K85" s="42" t="s">
        <v>95</v>
      </c>
      <c r="L85" s="42" t="s">
        <v>216</v>
      </c>
      <c r="M85" s="38">
        <v>16.0</v>
      </c>
      <c r="N85" s="42" t="s">
        <v>25</v>
      </c>
      <c r="O85" s="42" t="s">
        <v>217</v>
      </c>
      <c r="P85" s="39"/>
    </row>
    <row r="86">
      <c r="A86" s="51">
        <v>1237.0</v>
      </c>
      <c r="B86" s="51">
        <v>1237.0</v>
      </c>
      <c r="C86" s="34">
        <f>IFERROR(__xludf.DUMMYFUNCTION("if(B86&lt;=999,if(B86&lt;=99,IF(B86&lt;=9,join(,""000"",B86),join(,""00"",B86)),join(,""0"",B86)),B86)"),1237.0)</f>
        <v>1237</v>
      </c>
      <c r="D86" s="52" t="s">
        <v>219</v>
      </c>
      <c r="E86" s="53" t="s">
        <v>35</v>
      </c>
      <c r="F86" s="34" t="str">
        <f t="shared" si="1"/>
        <v>#REF!</v>
      </c>
      <c r="G86" s="34" t="str">
        <f t="shared" si="2"/>
        <v>#REF!</v>
      </c>
      <c r="H86" s="54" t="s">
        <v>21</v>
      </c>
      <c r="I86" s="44"/>
      <c r="J86" s="54"/>
      <c r="K86" s="42"/>
      <c r="L86" s="42"/>
      <c r="M86" s="38" t="e">
        <v>#N/A</v>
      </c>
      <c r="N86" s="42"/>
      <c r="O86" s="42"/>
      <c r="P86" s="43"/>
    </row>
    <row r="87">
      <c r="A87" s="45">
        <v>67.0</v>
      </c>
      <c r="B87" s="45">
        <v>67.0</v>
      </c>
      <c r="C87" s="45" t="str">
        <f>IFERROR(__xludf.DUMMYFUNCTION("if(B87&lt;=999,if(B87&lt;=99,IF(B87&lt;=9,join(,""000"",B87),join(,""00"",B87)),join(,""0"",B87)),B87)"),"0067")</f>
        <v>0067</v>
      </c>
      <c r="D87" s="46" t="s">
        <v>220</v>
      </c>
      <c r="E87" s="45" t="s">
        <v>20</v>
      </c>
      <c r="F87" s="45" t="str">
        <f t="shared" si="1"/>
        <v>#REF!</v>
      </c>
      <c r="G87" s="45" t="str">
        <f t="shared" si="2"/>
        <v>#REF!</v>
      </c>
      <c r="H87" s="47" t="s">
        <v>21</v>
      </c>
      <c r="I87" s="48" t="s">
        <v>63</v>
      </c>
      <c r="J87" s="47" t="s">
        <v>20</v>
      </c>
      <c r="K87" s="49" t="s">
        <v>95</v>
      </c>
      <c r="L87" s="49" t="s">
        <v>221</v>
      </c>
      <c r="M87" s="49"/>
      <c r="N87" s="49" t="s">
        <v>25</v>
      </c>
      <c r="O87" s="49" t="s">
        <v>222</v>
      </c>
      <c r="P87" s="50" t="s">
        <v>223</v>
      </c>
    </row>
    <row r="88">
      <c r="A88" s="51">
        <v>233.0</v>
      </c>
      <c r="B88" s="51">
        <v>233.0</v>
      </c>
      <c r="C88" s="34" t="str">
        <f>IFERROR(__xludf.DUMMYFUNCTION("if(B88&lt;=999,if(B88&lt;=99,IF(B88&lt;=9,join(,""000"",B88),join(,""00"",B88)),join(,""0"",B88)),B88)"),"0233")</f>
        <v>0233</v>
      </c>
      <c r="D88" s="52" t="s">
        <v>224</v>
      </c>
      <c r="E88" s="53" t="s">
        <v>20</v>
      </c>
      <c r="F88" s="34" t="str">
        <f t="shared" si="1"/>
        <v>#REF!</v>
      </c>
      <c r="G88" s="34" t="str">
        <f t="shared" si="2"/>
        <v>#REF!</v>
      </c>
      <c r="H88" s="54" t="s">
        <v>21</v>
      </c>
      <c r="I88" s="37" t="s">
        <v>60</v>
      </c>
      <c r="J88" s="54" t="s">
        <v>35</v>
      </c>
      <c r="K88" s="42"/>
      <c r="L88" s="42"/>
      <c r="M88" s="38" t="s">
        <v>225</v>
      </c>
      <c r="N88" s="42"/>
      <c r="O88" s="42"/>
      <c r="P88" s="43" t="s">
        <v>226</v>
      </c>
    </row>
    <row r="89">
      <c r="A89" s="33">
        <v>1152.0</v>
      </c>
      <c r="B89" s="69">
        <v>1152.0</v>
      </c>
      <c r="C89" s="34">
        <f>IFERROR(__xludf.DUMMYFUNCTION("if(B89&lt;=999,if(B89&lt;=99,IF(B89&lt;=9,join(,""000"",B89),join(,""00"",B89)),join(,""0"",B89)),B89)"),1152.0)</f>
        <v>1152</v>
      </c>
      <c r="D89" s="35" t="s">
        <v>227</v>
      </c>
      <c r="E89" s="34" t="s">
        <v>20</v>
      </c>
      <c r="F89" s="34" t="str">
        <f t="shared" si="1"/>
        <v>#REF!</v>
      </c>
      <c r="G89" s="34" t="str">
        <f t="shared" si="2"/>
        <v>#REF!</v>
      </c>
      <c r="H89" s="36" t="s">
        <v>21</v>
      </c>
      <c r="I89" s="37" t="s">
        <v>22</v>
      </c>
      <c r="J89" s="36" t="s">
        <v>35</v>
      </c>
      <c r="K89" s="38"/>
      <c r="L89" s="42"/>
      <c r="M89" s="38">
        <v>8.0</v>
      </c>
      <c r="N89" s="38"/>
      <c r="O89" s="38"/>
      <c r="P89" s="39" t="s">
        <v>228</v>
      </c>
    </row>
    <row r="90">
      <c r="A90" s="51">
        <v>1436.0</v>
      </c>
      <c r="B90" s="51">
        <v>1436.0</v>
      </c>
      <c r="C90" s="34">
        <f>IFERROR(__xludf.DUMMYFUNCTION("if(B90&lt;=999,if(B90&lt;=99,IF(B90&lt;=9,join(,""000"",B90),join(,""00"",B90)),join(,""0"",B90)),B90)"),1436.0)</f>
        <v>1436</v>
      </c>
      <c r="D90" s="52" t="s">
        <v>229</v>
      </c>
      <c r="E90" s="53" t="s">
        <v>20</v>
      </c>
      <c r="F90" s="34" t="str">
        <f t="shared" si="1"/>
        <v>#REF!</v>
      </c>
      <c r="G90" s="34" t="str">
        <f t="shared" si="2"/>
        <v>#REF!</v>
      </c>
      <c r="H90" s="54" t="s">
        <v>21</v>
      </c>
      <c r="I90" s="37" t="s">
        <v>63</v>
      </c>
      <c r="J90" s="54" t="s">
        <v>35</v>
      </c>
      <c r="K90" s="42" t="s">
        <v>23</v>
      </c>
      <c r="L90" s="42" t="s">
        <v>230</v>
      </c>
      <c r="M90" s="38" t="e">
        <v>#N/A</v>
      </c>
      <c r="N90" s="42" t="s">
        <v>104</v>
      </c>
      <c r="O90" s="42" t="s">
        <v>231</v>
      </c>
      <c r="P90" s="43" t="s">
        <v>82</v>
      </c>
    </row>
    <row r="91">
      <c r="A91" s="33">
        <v>348.0</v>
      </c>
      <c r="B91" s="34">
        <v>348.0</v>
      </c>
      <c r="C91" s="34" t="str">
        <f>IFERROR(__xludf.DUMMYFUNCTION("if(B91&lt;=999,if(B91&lt;=99,IF(B91&lt;=9,join(,""000"",B91),join(,""00"",B91)),join(,""0"",B91)),B91)"),"0348")</f>
        <v>0348</v>
      </c>
      <c r="D91" s="35" t="s">
        <v>232</v>
      </c>
      <c r="E91" s="34" t="s">
        <v>20</v>
      </c>
      <c r="F91" s="34" t="str">
        <f t="shared" si="1"/>
        <v>#REF!</v>
      </c>
      <c r="G91" s="34" t="str">
        <f t="shared" si="2"/>
        <v>#REF!</v>
      </c>
      <c r="H91" s="36" t="s">
        <v>21</v>
      </c>
      <c r="I91" s="37" t="s">
        <v>101</v>
      </c>
      <c r="J91" s="36" t="s">
        <v>20</v>
      </c>
      <c r="K91" s="38" t="s">
        <v>233</v>
      </c>
      <c r="L91" s="70" t="s">
        <v>234</v>
      </c>
      <c r="M91" s="38">
        <v>808.0</v>
      </c>
      <c r="N91" s="38" t="s">
        <v>235</v>
      </c>
      <c r="O91" s="38" t="s">
        <v>236</v>
      </c>
      <c r="P91" s="39" t="s">
        <v>82</v>
      </c>
    </row>
    <row r="92">
      <c r="A92" s="51">
        <v>1227.0</v>
      </c>
      <c r="B92" s="51">
        <v>1227.0</v>
      </c>
      <c r="C92" s="34">
        <f>IFERROR(__xludf.DUMMYFUNCTION("if(B92&lt;=999,if(B92&lt;=99,IF(B92&lt;=9,join(,""000"",B92),join(,""00"",B92)),join(,""0"",B92)),B92)"),1227.0)</f>
        <v>1227</v>
      </c>
      <c r="D92" s="52" t="s">
        <v>237</v>
      </c>
      <c r="E92" s="53" t="s">
        <v>35</v>
      </c>
      <c r="F92" s="34" t="str">
        <f t="shared" si="1"/>
        <v>#REF!</v>
      </c>
      <c r="G92" s="34" t="str">
        <f t="shared" si="2"/>
        <v>#REF!</v>
      </c>
      <c r="H92" s="54" t="s">
        <v>21</v>
      </c>
      <c r="I92" s="44"/>
      <c r="J92" s="54"/>
      <c r="K92" s="42"/>
      <c r="L92" s="42"/>
      <c r="M92" s="38" t="e">
        <v>#N/A</v>
      </c>
      <c r="N92" s="42"/>
      <c r="O92" s="42"/>
      <c r="P92" s="43"/>
    </row>
    <row r="93">
      <c r="A93" s="51">
        <v>1062.0</v>
      </c>
      <c r="B93" s="51">
        <v>1062.0</v>
      </c>
      <c r="C93" s="34">
        <f>IFERROR(__xludf.DUMMYFUNCTION("if(B93&lt;=999,if(B93&lt;=99,IF(B93&lt;=9,join(,""000"",B93),join(,""00"",B93)),join(,""0"",B93)),B93)"),1062.0)</f>
        <v>1062</v>
      </c>
      <c r="D93" s="52" t="s">
        <v>238</v>
      </c>
      <c r="E93" s="53" t="s">
        <v>20</v>
      </c>
      <c r="F93" s="34" t="str">
        <f t="shared" si="1"/>
        <v>#REF!</v>
      </c>
      <c r="G93" s="34" t="str">
        <f t="shared" si="2"/>
        <v>#REF!</v>
      </c>
      <c r="H93" s="54" t="s">
        <v>21</v>
      </c>
      <c r="I93" s="37" t="s">
        <v>101</v>
      </c>
      <c r="J93" s="54" t="s">
        <v>20</v>
      </c>
      <c r="K93" s="42" t="s">
        <v>137</v>
      </c>
      <c r="L93" s="42" t="s">
        <v>239</v>
      </c>
      <c r="M93" s="38">
        <v>25002.0</v>
      </c>
      <c r="N93" s="42" t="s">
        <v>240</v>
      </c>
      <c r="O93" s="42" t="s">
        <v>241</v>
      </c>
      <c r="P93" s="43" t="s">
        <v>82</v>
      </c>
    </row>
    <row r="94">
      <c r="A94" s="51">
        <v>1061.0</v>
      </c>
      <c r="B94" s="51">
        <v>1061.0</v>
      </c>
      <c r="C94" s="34">
        <f>IFERROR(__xludf.DUMMYFUNCTION("if(B94&lt;=999,if(B94&lt;=99,IF(B94&lt;=9,join(,""000"",B94),join(,""00"",B94)),join(,""0"",B94)),B94)"),1061.0)</f>
        <v>1061</v>
      </c>
      <c r="D94" s="52" t="s">
        <v>242</v>
      </c>
      <c r="E94" s="53" t="s">
        <v>20</v>
      </c>
      <c r="F94" s="34" t="str">
        <f t="shared" si="1"/>
        <v>#REF!</v>
      </c>
      <c r="G94" s="34" t="str">
        <f t="shared" si="2"/>
        <v>#REF!</v>
      </c>
      <c r="H94" s="54" t="s">
        <v>21</v>
      </c>
      <c r="I94" s="37" t="s">
        <v>22</v>
      </c>
      <c r="J94" s="54" t="s">
        <v>20</v>
      </c>
      <c r="K94" s="42" t="s">
        <v>23</v>
      </c>
      <c r="L94" s="42" t="s">
        <v>243</v>
      </c>
      <c r="M94" s="38" t="s">
        <v>244</v>
      </c>
      <c r="N94" s="42" t="s">
        <v>25</v>
      </c>
      <c r="O94" s="42" t="s">
        <v>245</v>
      </c>
      <c r="P94" s="43"/>
    </row>
    <row r="95">
      <c r="A95" s="51">
        <v>1214.0</v>
      </c>
      <c r="B95" s="51">
        <v>1214.0</v>
      </c>
      <c r="C95" s="34">
        <f>IFERROR(__xludf.DUMMYFUNCTION("if(B95&lt;=999,if(B95&lt;=99,IF(B95&lt;=9,join(,""000"",B95),join(,""00"",B95)),join(,""0"",B95)),B95)"),1214.0)</f>
        <v>1214</v>
      </c>
      <c r="D95" s="52" t="s">
        <v>246</v>
      </c>
      <c r="E95" s="53" t="s">
        <v>20</v>
      </c>
      <c r="F95" s="34" t="str">
        <f t="shared" si="1"/>
        <v>#REF!</v>
      </c>
      <c r="G95" s="34" t="str">
        <f t="shared" si="2"/>
        <v>#REF!</v>
      </c>
      <c r="H95" s="54" t="s">
        <v>21</v>
      </c>
      <c r="I95" s="37" t="s">
        <v>22</v>
      </c>
      <c r="J95" s="54" t="s">
        <v>20</v>
      </c>
      <c r="K95" s="42" t="s">
        <v>95</v>
      </c>
      <c r="L95" s="42" t="s">
        <v>247</v>
      </c>
      <c r="M95" s="38">
        <v>85.0</v>
      </c>
      <c r="N95" s="42" t="s">
        <v>25</v>
      </c>
      <c r="O95" s="42" t="s">
        <v>248</v>
      </c>
      <c r="P95" s="43"/>
    </row>
    <row r="96">
      <c r="A96" s="51">
        <v>1365.0</v>
      </c>
      <c r="B96" s="51">
        <v>1365.0</v>
      </c>
      <c r="C96" s="34">
        <f>IFERROR(__xludf.DUMMYFUNCTION("if(B96&lt;=999,if(B96&lt;=99,IF(B96&lt;=9,join(,""000"",B96),join(,""00"",B96)),join(,""0"",B96)),B96)"),1365.0)</f>
        <v>1365</v>
      </c>
      <c r="D96" s="52" t="s">
        <v>249</v>
      </c>
      <c r="E96" s="53" t="s">
        <v>20</v>
      </c>
      <c r="F96" s="34" t="str">
        <f t="shared" si="1"/>
        <v>#REF!</v>
      </c>
      <c r="G96" s="34" t="str">
        <f t="shared" si="2"/>
        <v>#REF!</v>
      </c>
      <c r="H96" s="54" t="s">
        <v>21</v>
      </c>
      <c r="I96" s="37" t="s">
        <v>22</v>
      </c>
      <c r="J96" s="54" t="s">
        <v>20</v>
      </c>
      <c r="K96" s="42" t="s">
        <v>137</v>
      </c>
      <c r="L96" s="42" t="s">
        <v>250</v>
      </c>
      <c r="M96" s="38">
        <v>4.0</v>
      </c>
      <c r="N96" s="42" t="s">
        <v>25</v>
      </c>
      <c r="O96" s="42" t="s">
        <v>251</v>
      </c>
      <c r="P96" s="43"/>
    </row>
    <row r="97">
      <c r="A97" s="33">
        <v>212.0</v>
      </c>
      <c r="B97" s="34">
        <v>212.0</v>
      </c>
      <c r="C97" s="34" t="str">
        <f>IFERROR(__xludf.DUMMYFUNCTION("if(B97&lt;=999,if(B97&lt;=99,IF(B97&lt;=9,join(,""000"",B97),join(,""00"",B97)),join(,""0"",B97)),B97)"),"0212")</f>
        <v>0212</v>
      </c>
      <c r="D97" s="35" t="s">
        <v>252</v>
      </c>
      <c r="E97" s="34" t="s">
        <v>20</v>
      </c>
      <c r="F97" s="34" t="str">
        <f t="shared" si="1"/>
        <v>#REF!</v>
      </c>
      <c r="G97" s="34" t="str">
        <f t="shared" si="2"/>
        <v>#REF!</v>
      </c>
      <c r="H97" s="36" t="s">
        <v>21</v>
      </c>
      <c r="I97" s="37" t="s">
        <v>22</v>
      </c>
      <c r="J97" s="36" t="s">
        <v>35</v>
      </c>
      <c r="K97" s="38"/>
      <c r="L97" s="42"/>
      <c r="M97" s="38">
        <v>16.0</v>
      </c>
      <c r="N97" s="38"/>
      <c r="O97" s="38"/>
      <c r="P97" s="39" t="s">
        <v>43</v>
      </c>
    </row>
    <row r="98">
      <c r="A98" s="33">
        <v>813.0</v>
      </c>
      <c r="B98" s="34">
        <v>813.0</v>
      </c>
      <c r="C98" s="34" t="str">
        <f>IFERROR(__xludf.DUMMYFUNCTION("if(B98&lt;=999,if(B98&lt;=99,IF(B98&lt;=9,join(,""000"",B98),join(,""00"",B98)),join(,""0"",B98)),B98)"),"0813")</f>
        <v>0813</v>
      </c>
      <c r="D98" s="35" t="s">
        <v>253</v>
      </c>
      <c r="E98" s="34" t="s">
        <v>20</v>
      </c>
      <c r="F98" s="34" t="str">
        <f t="shared" si="1"/>
        <v>#REF!</v>
      </c>
      <c r="G98" s="34" t="str">
        <f t="shared" si="2"/>
        <v>#REF!</v>
      </c>
      <c r="H98" s="36" t="s">
        <v>21</v>
      </c>
      <c r="I98" s="37" t="s">
        <v>34</v>
      </c>
      <c r="J98" s="36" t="s">
        <v>20</v>
      </c>
      <c r="K98" s="36" t="s">
        <v>254</v>
      </c>
      <c r="L98" s="36" t="s">
        <v>255</v>
      </c>
      <c r="M98" s="38" t="e">
        <v>#N/A</v>
      </c>
      <c r="N98" s="36" t="s">
        <v>25</v>
      </c>
      <c r="O98" s="36" t="s">
        <v>256</v>
      </c>
      <c r="P98" s="39" t="s">
        <v>82</v>
      </c>
    </row>
    <row r="99">
      <c r="A99" s="33">
        <v>64.0</v>
      </c>
      <c r="B99" s="34">
        <v>64.0</v>
      </c>
      <c r="C99" s="34" t="str">
        <f>IFERROR(__xludf.DUMMYFUNCTION("if(B99&lt;=999,if(B99&lt;=99,IF(B99&lt;=9,join(,""000"",B99),join(,""00"",B99)),join(,""0"",B99)),B99)"),"0064")</f>
        <v>0064</v>
      </c>
      <c r="D99" s="35" t="s">
        <v>257</v>
      </c>
      <c r="E99" s="34" t="s">
        <v>20</v>
      </c>
      <c r="F99" s="34" t="str">
        <f t="shared" si="1"/>
        <v>#REF!</v>
      </c>
      <c r="G99" s="34" t="str">
        <f t="shared" si="2"/>
        <v>#REF!</v>
      </c>
      <c r="H99" s="36" t="s">
        <v>21</v>
      </c>
      <c r="I99" s="37" t="s">
        <v>77</v>
      </c>
      <c r="J99" s="36" t="s">
        <v>35</v>
      </c>
      <c r="K99" s="38"/>
      <c r="L99" s="42"/>
      <c r="M99" s="38" t="e">
        <v>#N/A</v>
      </c>
      <c r="N99" s="38"/>
      <c r="O99" s="38"/>
      <c r="P99" s="43" t="s">
        <v>258</v>
      </c>
    </row>
    <row r="100">
      <c r="A100" s="33">
        <v>14.0</v>
      </c>
      <c r="B100" s="34">
        <v>14.0</v>
      </c>
      <c r="C100" s="34" t="str">
        <f>IFERROR(__xludf.DUMMYFUNCTION("if(B100&lt;=999,if(B100&lt;=99,IF(B100&lt;=9,join(,""000"",B100),join(,""00"",B100)),join(,""0"",B100)),B100)"),"0014")</f>
        <v>0014</v>
      </c>
      <c r="D100" s="35" t="s">
        <v>259</v>
      </c>
      <c r="E100" s="34" t="s">
        <v>20</v>
      </c>
      <c r="F100" s="34" t="str">
        <f t="shared" si="1"/>
        <v>#REF!</v>
      </c>
      <c r="G100" s="34" t="str">
        <f t="shared" si="2"/>
        <v>#REF!</v>
      </c>
      <c r="H100" s="36" t="s">
        <v>21</v>
      </c>
      <c r="I100" s="37" t="s">
        <v>34</v>
      </c>
      <c r="J100" s="36" t="s">
        <v>20</v>
      </c>
      <c r="K100" s="38" t="s">
        <v>23</v>
      </c>
      <c r="L100" s="38" t="s">
        <v>260</v>
      </c>
      <c r="M100" s="38">
        <v>8000.0</v>
      </c>
      <c r="N100" s="38" t="s">
        <v>25</v>
      </c>
      <c r="O100" s="38" t="s">
        <v>261</v>
      </c>
      <c r="P100" s="39"/>
    </row>
    <row r="101">
      <c r="A101" s="51">
        <v>1447.0</v>
      </c>
      <c r="B101" s="51">
        <v>1447.0</v>
      </c>
      <c r="C101" s="34">
        <f>IFERROR(__xludf.DUMMYFUNCTION("if(B101&lt;=999,if(B101&lt;=99,IF(B101&lt;=9,join(,""000"",B101),join(,""00"",B101)),join(,""0"",B101)),B101)"),1447.0)</f>
        <v>1447</v>
      </c>
      <c r="D101" s="52" t="s">
        <v>262</v>
      </c>
      <c r="E101" s="53" t="s">
        <v>20</v>
      </c>
      <c r="F101" s="34" t="str">
        <f t="shared" si="1"/>
        <v>#REF!</v>
      </c>
      <c r="G101" s="34" t="str">
        <f t="shared" si="2"/>
        <v>#REF!</v>
      </c>
      <c r="H101" s="54" t="s">
        <v>21</v>
      </c>
      <c r="I101" s="37" t="s">
        <v>34</v>
      </c>
      <c r="J101" s="54" t="s">
        <v>35</v>
      </c>
      <c r="K101" s="42" t="s">
        <v>95</v>
      </c>
      <c r="L101" s="36" t="s">
        <v>263</v>
      </c>
      <c r="M101" s="38" t="s">
        <v>264</v>
      </c>
      <c r="N101" s="62" t="s">
        <v>25</v>
      </c>
      <c r="O101" s="62" t="s">
        <v>55</v>
      </c>
      <c r="P101" s="43" t="s">
        <v>258</v>
      </c>
    </row>
    <row r="102">
      <c r="A102" s="51">
        <v>196.0</v>
      </c>
      <c r="B102" s="51">
        <v>196.0</v>
      </c>
      <c r="C102" s="34" t="str">
        <f>IFERROR(__xludf.DUMMYFUNCTION("if(B102&lt;=999,if(B102&lt;=99,IF(B102&lt;=9,join(,""000"",B102),join(,""00"",B102)),join(,""0"",B102)),B102)"),"0196")</f>
        <v>0196</v>
      </c>
      <c r="D102" s="52" t="s">
        <v>265</v>
      </c>
      <c r="E102" s="53" t="s">
        <v>20</v>
      </c>
      <c r="F102" s="34" t="str">
        <f t="shared" si="1"/>
        <v>#REF!</v>
      </c>
      <c r="G102" s="34" t="str">
        <f t="shared" si="2"/>
        <v>#REF!</v>
      </c>
      <c r="H102" s="54" t="s">
        <v>21</v>
      </c>
      <c r="I102" s="37" t="s">
        <v>77</v>
      </c>
      <c r="J102" s="54" t="s">
        <v>35</v>
      </c>
      <c r="K102" s="42"/>
      <c r="L102" s="42"/>
      <c r="M102" s="38" t="s">
        <v>266</v>
      </c>
      <c r="N102" s="42"/>
      <c r="O102" s="42"/>
      <c r="P102" s="43" t="s">
        <v>87</v>
      </c>
    </row>
    <row r="103">
      <c r="A103" s="51">
        <v>31.0</v>
      </c>
      <c r="B103" s="51">
        <v>31.0</v>
      </c>
      <c r="C103" s="34" t="str">
        <f>IFERROR(__xludf.DUMMYFUNCTION("if(B103&lt;=999,if(B103&lt;=99,IF(B103&lt;=9,join(,""000"",B103),join(,""00"",B103)),join(,""0"",B103)),B103)"),"0031")</f>
        <v>0031</v>
      </c>
      <c r="D103" s="52" t="s">
        <v>267</v>
      </c>
      <c r="E103" s="53" t="s">
        <v>20</v>
      </c>
      <c r="F103" s="34" t="str">
        <f t="shared" si="1"/>
        <v>#REF!</v>
      </c>
      <c r="G103" s="34" t="str">
        <f t="shared" si="2"/>
        <v>#REF!</v>
      </c>
      <c r="H103" s="54" t="s">
        <v>21</v>
      </c>
      <c r="I103" s="37" t="s">
        <v>99</v>
      </c>
      <c r="J103" s="54" t="s">
        <v>35</v>
      </c>
      <c r="K103" s="42"/>
      <c r="L103" s="42"/>
      <c r="M103" s="38">
        <v>16.0</v>
      </c>
      <c r="N103" s="42"/>
      <c r="O103" s="42"/>
      <c r="P103" s="43" t="s">
        <v>66</v>
      </c>
    </row>
    <row r="104">
      <c r="A104" s="33">
        <v>150.0</v>
      </c>
      <c r="B104" s="34">
        <v>150.0</v>
      </c>
      <c r="C104" s="34" t="str">
        <f>IFERROR(__xludf.DUMMYFUNCTION("if(B104&lt;=999,if(B104&lt;=99,IF(B104&lt;=9,join(,""000"",B104),join(,""00"",B104)),join(,""0"",B104)),B104)"),"0150")</f>
        <v>0150</v>
      </c>
      <c r="D104" s="35" t="s">
        <v>268</v>
      </c>
      <c r="E104" s="34" t="s">
        <v>20</v>
      </c>
      <c r="F104" s="34" t="str">
        <f t="shared" si="1"/>
        <v>#REF!</v>
      </c>
      <c r="G104" s="34" t="str">
        <f t="shared" si="2"/>
        <v>#REF!</v>
      </c>
      <c r="H104" s="36" t="s">
        <v>21</v>
      </c>
      <c r="I104" s="44"/>
      <c r="J104" s="36"/>
      <c r="K104" s="38"/>
      <c r="L104" s="42"/>
      <c r="M104" s="38" t="s">
        <v>244</v>
      </c>
      <c r="N104" s="38"/>
      <c r="O104" s="38"/>
      <c r="P104" s="39"/>
    </row>
    <row r="105">
      <c r="A105" s="51">
        <v>43.0</v>
      </c>
      <c r="B105" s="51">
        <v>43.0</v>
      </c>
      <c r="C105" s="34" t="str">
        <f>IFERROR(__xludf.DUMMYFUNCTION("if(B105&lt;=999,if(B105&lt;=99,IF(B105&lt;=9,join(,""000"",B105),join(,""00"",B105)),join(,""0"",B105)),B105)"),"0043")</f>
        <v>0043</v>
      </c>
      <c r="D105" s="52" t="s">
        <v>269</v>
      </c>
      <c r="E105" s="53" t="s">
        <v>20</v>
      </c>
      <c r="F105" s="34" t="str">
        <f t="shared" si="1"/>
        <v>#REF!</v>
      </c>
      <c r="G105" s="34" t="str">
        <f t="shared" si="2"/>
        <v>#REF!</v>
      </c>
      <c r="H105" s="54" t="s">
        <v>21</v>
      </c>
      <c r="I105" s="37" t="s">
        <v>99</v>
      </c>
      <c r="J105" s="54" t="s">
        <v>20</v>
      </c>
      <c r="K105" s="36" t="s">
        <v>270</v>
      </c>
      <c r="L105" s="36" t="s">
        <v>271</v>
      </c>
      <c r="M105" s="38" t="e">
        <v>#N/A</v>
      </c>
      <c r="N105" s="62" t="s">
        <v>25</v>
      </c>
      <c r="O105" s="62" t="s">
        <v>272</v>
      </c>
      <c r="P105" s="43"/>
    </row>
    <row r="106">
      <c r="A106" s="33">
        <v>1354.0</v>
      </c>
      <c r="B106" s="34">
        <v>1354.0</v>
      </c>
      <c r="C106" s="34">
        <f>IFERROR(__xludf.DUMMYFUNCTION("if(B106&lt;=999,if(B106&lt;=99,IF(B106&lt;=9,join(,""000"",B106),join(,""00"",B106)),join(,""0"",B106)),B106)"),1354.0)</f>
        <v>1354</v>
      </c>
      <c r="D106" s="35" t="s">
        <v>273</v>
      </c>
      <c r="E106" s="34" t="s">
        <v>20</v>
      </c>
      <c r="F106" s="34" t="str">
        <f t="shared" si="1"/>
        <v>#REF!</v>
      </c>
      <c r="G106" s="34" t="str">
        <f t="shared" si="2"/>
        <v>#REF!</v>
      </c>
      <c r="H106" s="36" t="s">
        <v>21</v>
      </c>
      <c r="I106" s="37" t="s">
        <v>99</v>
      </c>
      <c r="J106" s="36" t="s">
        <v>35</v>
      </c>
      <c r="K106" s="38"/>
      <c r="L106" s="42"/>
      <c r="M106" s="38">
        <v>32.0</v>
      </c>
      <c r="N106" s="38"/>
      <c r="O106" s="38"/>
      <c r="P106" s="39" t="s">
        <v>43</v>
      </c>
    </row>
    <row r="107">
      <c r="A107" s="33">
        <v>1135.0</v>
      </c>
      <c r="B107" s="34">
        <v>1135.0</v>
      </c>
      <c r="C107" s="34">
        <f>IFERROR(__xludf.DUMMYFUNCTION("if(B107&lt;=999,if(B107&lt;=99,IF(B107&lt;=9,join(,""000"",B107),join(,""00"",B107)),join(,""0"",B107)),B107)"),1135.0)</f>
        <v>1135</v>
      </c>
      <c r="D107" s="35" t="s">
        <v>274</v>
      </c>
      <c r="E107" s="34" t="s">
        <v>20</v>
      </c>
      <c r="F107" s="34" t="str">
        <f t="shared" si="1"/>
        <v>#REF!</v>
      </c>
      <c r="G107" s="34" t="str">
        <f t="shared" si="2"/>
        <v>#REF!</v>
      </c>
      <c r="H107" s="36" t="s">
        <v>21</v>
      </c>
      <c r="I107" s="37" t="s">
        <v>101</v>
      </c>
      <c r="J107" s="36" t="s">
        <v>35</v>
      </c>
      <c r="K107" s="38"/>
      <c r="L107" s="42"/>
      <c r="M107" s="38" t="s">
        <v>275</v>
      </c>
      <c r="N107" s="38"/>
      <c r="O107" s="38"/>
      <c r="P107" s="39" t="s">
        <v>43</v>
      </c>
    </row>
    <row r="108">
      <c r="A108" s="51">
        <v>1113.0</v>
      </c>
      <c r="B108" s="51">
        <v>1113.0</v>
      </c>
      <c r="C108" s="34">
        <f>IFERROR(__xludf.DUMMYFUNCTION("if(B108&lt;=999,if(B108&lt;=99,IF(B108&lt;=9,join(,""000"",B108),join(,""00"",B108)),join(,""0"",B108)),B108)"),1113.0)</f>
        <v>1113</v>
      </c>
      <c r="D108" s="52" t="s">
        <v>276</v>
      </c>
      <c r="E108" s="53" t="s">
        <v>20</v>
      </c>
      <c r="F108" s="34" t="str">
        <f t="shared" si="1"/>
        <v>#REF!</v>
      </c>
      <c r="G108" s="34" t="str">
        <f t="shared" si="2"/>
        <v>#REF!</v>
      </c>
      <c r="H108" s="54" t="s">
        <v>21</v>
      </c>
      <c r="I108" s="37" t="s">
        <v>101</v>
      </c>
      <c r="J108" s="54" t="s">
        <v>35</v>
      </c>
      <c r="K108" s="42"/>
      <c r="L108" s="42"/>
      <c r="M108" s="38" t="s">
        <v>275</v>
      </c>
      <c r="N108" s="42"/>
      <c r="O108" s="42"/>
      <c r="P108" s="43" t="s">
        <v>43</v>
      </c>
    </row>
    <row r="109">
      <c r="A109" s="51">
        <v>1373.0</v>
      </c>
      <c r="B109" s="51">
        <v>1373.0</v>
      </c>
      <c r="C109" s="34">
        <f>IFERROR(__xludf.DUMMYFUNCTION("if(B109&lt;=999,if(B109&lt;=99,IF(B109&lt;=9,join(,""000"",B109),join(,""00"",B109)),join(,""0"",B109)),B109)"),1373.0)</f>
        <v>1373</v>
      </c>
      <c r="D109" s="52" t="s">
        <v>277</v>
      </c>
      <c r="E109" s="53" t="s">
        <v>20</v>
      </c>
      <c r="F109" s="34" t="str">
        <f t="shared" si="1"/>
        <v>#REF!</v>
      </c>
      <c r="G109" s="34" t="str">
        <f t="shared" si="2"/>
        <v>#REF!</v>
      </c>
      <c r="H109" s="54" t="s">
        <v>21</v>
      </c>
      <c r="I109" s="37" t="s">
        <v>101</v>
      </c>
      <c r="J109" s="54" t="s">
        <v>20</v>
      </c>
      <c r="K109" s="42" t="s">
        <v>23</v>
      </c>
      <c r="L109" s="42" t="s">
        <v>278</v>
      </c>
      <c r="M109" s="38" t="e">
        <v>#N/A</v>
      </c>
      <c r="N109" s="42" t="s">
        <v>279</v>
      </c>
      <c r="O109" s="42" t="s">
        <v>280</v>
      </c>
      <c r="P109" s="43"/>
    </row>
    <row r="110">
      <c r="A110" s="51">
        <v>1151.0</v>
      </c>
      <c r="B110" s="51">
        <v>1151.0</v>
      </c>
      <c r="C110" s="34">
        <f>IFERROR(__xludf.DUMMYFUNCTION("if(B110&lt;=999,if(B110&lt;=99,IF(B110&lt;=9,join(,""000"",B110),join(,""00"",B110)),join(,""0"",B110)),B110)"),1151.0)</f>
        <v>1151</v>
      </c>
      <c r="D110" s="52" t="s">
        <v>281</v>
      </c>
      <c r="E110" s="53" t="s">
        <v>20</v>
      </c>
      <c r="F110" s="34" t="str">
        <f t="shared" si="1"/>
        <v>#REF!</v>
      </c>
      <c r="G110" s="34" t="str">
        <f t="shared" si="2"/>
        <v>#REF!</v>
      </c>
      <c r="H110" s="54" t="s">
        <v>21</v>
      </c>
      <c r="I110" s="37" t="s">
        <v>77</v>
      </c>
      <c r="J110" s="54" t="s">
        <v>20</v>
      </c>
      <c r="K110" s="42" t="s">
        <v>23</v>
      </c>
      <c r="L110" s="42" t="s">
        <v>278</v>
      </c>
      <c r="M110" s="38">
        <v>8004.0</v>
      </c>
      <c r="N110" s="42" t="s">
        <v>279</v>
      </c>
      <c r="O110" s="42" t="s">
        <v>280</v>
      </c>
      <c r="P110" s="43"/>
    </row>
    <row r="111">
      <c r="A111" s="45">
        <v>1423.0</v>
      </c>
      <c r="B111" s="45">
        <v>1423.0</v>
      </c>
      <c r="C111" s="45">
        <f>IFERROR(__xludf.DUMMYFUNCTION("if(B111&lt;=999,if(B111&lt;=99,IF(B111&lt;=9,join(,""000"",B111),join(,""00"",B111)),join(,""0"",B111)),B111)"),1423.0)</f>
        <v>1423</v>
      </c>
      <c r="D111" s="46" t="s">
        <v>282</v>
      </c>
      <c r="E111" s="45" t="s">
        <v>20</v>
      </c>
      <c r="F111" s="45" t="str">
        <f t="shared" si="1"/>
        <v>#REF!</v>
      </c>
      <c r="G111" s="45" t="str">
        <f t="shared" si="2"/>
        <v>#REF!</v>
      </c>
      <c r="H111" s="47" t="s">
        <v>21</v>
      </c>
      <c r="I111" s="48" t="s">
        <v>77</v>
      </c>
      <c r="J111" s="47" t="s">
        <v>35</v>
      </c>
      <c r="K111" s="49"/>
      <c r="L111" s="49" t="s">
        <v>283</v>
      </c>
      <c r="M111" s="49">
        <v>8000.0</v>
      </c>
      <c r="N111" s="49" t="s">
        <v>25</v>
      </c>
      <c r="O111" s="49" t="s">
        <v>86</v>
      </c>
      <c r="P111" s="50" t="s">
        <v>66</v>
      </c>
    </row>
    <row r="112">
      <c r="A112" s="33">
        <v>82.0</v>
      </c>
      <c r="B112" s="34">
        <v>82.0</v>
      </c>
      <c r="C112" s="34" t="str">
        <f>IFERROR(__xludf.DUMMYFUNCTION("if(B112&lt;=999,if(B112&lt;=99,IF(B112&lt;=9,join(,""000"",B112),join(,""00"",B112)),join(,""0"",B112)),B112)"),"0082")</f>
        <v>0082</v>
      </c>
      <c r="D112" s="35" t="s">
        <v>284</v>
      </c>
      <c r="E112" s="34" t="s">
        <v>20</v>
      </c>
      <c r="F112" s="34" t="str">
        <f t="shared" si="1"/>
        <v>#REF!</v>
      </c>
      <c r="G112" s="34" t="str">
        <f t="shared" si="2"/>
        <v>#REF!</v>
      </c>
      <c r="H112" s="36" t="s">
        <v>21</v>
      </c>
      <c r="I112" s="37" t="s">
        <v>77</v>
      </c>
      <c r="J112" s="36" t="s">
        <v>35</v>
      </c>
      <c r="K112" s="38"/>
      <c r="L112" s="38" t="s">
        <v>283</v>
      </c>
      <c r="M112" s="38" t="e">
        <v>#N/A</v>
      </c>
      <c r="N112" s="38" t="s">
        <v>25</v>
      </c>
      <c r="O112" s="38" t="s">
        <v>86</v>
      </c>
      <c r="P112" s="39" t="s">
        <v>66</v>
      </c>
    </row>
    <row r="113">
      <c r="A113" s="55">
        <v>1241.0</v>
      </c>
      <c r="B113" s="55">
        <v>1241.0</v>
      </c>
      <c r="C113" s="45">
        <f>IFERROR(__xludf.DUMMYFUNCTION("if(B113&lt;=999,if(B113&lt;=99,IF(B113&lt;=9,join(,""000"",B113),join(,""00"",B113)),join(,""0"",B113)),B113)"),1241.0)</f>
        <v>1241</v>
      </c>
      <c r="D113" s="56" t="s">
        <v>285</v>
      </c>
      <c r="E113" s="55" t="s">
        <v>20</v>
      </c>
      <c r="F113" s="45" t="str">
        <f t="shared" si="1"/>
        <v>#REF!</v>
      </c>
      <c r="G113" s="45" t="str">
        <f t="shared" si="2"/>
        <v>#REF!</v>
      </c>
      <c r="H113" s="57" t="s">
        <v>21</v>
      </c>
      <c r="I113" s="48" t="s">
        <v>77</v>
      </c>
      <c r="J113" s="57" t="s">
        <v>20</v>
      </c>
      <c r="K113" s="60" t="s">
        <v>137</v>
      </c>
      <c r="L113" s="60" t="s">
        <v>286</v>
      </c>
      <c r="M113" s="49" t="s">
        <v>287</v>
      </c>
      <c r="N113" s="60" t="s">
        <v>288</v>
      </c>
      <c r="O113" s="60" t="s">
        <v>272</v>
      </c>
      <c r="P113" s="50" t="s">
        <v>289</v>
      </c>
    </row>
    <row r="114">
      <c r="A114" s="55">
        <v>1072.0</v>
      </c>
      <c r="B114" s="55">
        <v>1072.0</v>
      </c>
      <c r="C114" s="45">
        <f>IFERROR(__xludf.DUMMYFUNCTION("if(B114&lt;=999,if(B114&lt;=99,IF(B114&lt;=9,join(,""000"",B114),join(,""00"",B114)),join(,""0"",B114)),B114)"),1072.0)</f>
        <v>1072</v>
      </c>
      <c r="D114" s="56" t="s">
        <v>290</v>
      </c>
      <c r="E114" s="55" t="s">
        <v>20</v>
      </c>
      <c r="F114" s="45" t="str">
        <f t="shared" si="1"/>
        <v>#REF!</v>
      </c>
      <c r="G114" s="45" t="str">
        <f t="shared" si="2"/>
        <v>#REF!</v>
      </c>
      <c r="H114" s="57" t="s">
        <v>21</v>
      </c>
      <c r="I114" s="48" t="s">
        <v>60</v>
      </c>
      <c r="J114" s="57" t="s">
        <v>20</v>
      </c>
      <c r="K114" s="71" t="s">
        <v>23</v>
      </c>
      <c r="L114" s="71" t="s">
        <v>286</v>
      </c>
      <c r="M114" s="49" t="s">
        <v>291</v>
      </c>
      <c r="N114" s="71" t="s">
        <v>288</v>
      </c>
      <c r="O114" s="71" t="s">
        <v>272</v>
      </c>
      <c r="P114" s="71" t="s">
        <v>292</v>
      </c>
    </row>
    <row r="115">
      <c r="A115" s="55">
        <v>424.0</v>
      </c>
      <c r="B115" s="55">
        <v>424.0</v>
      </c>
      <c r="C115" s="45" t="str">
        <f>IFERROR(__xludf.DUMMYFUNCTION("if(B115&lt;=999,if(B115&lt;=99,IF(B115&lt;=9,join(,""000"",B115),join(,""00"",B115)),join(,""0"",B115)),B115)"),"0424")</f>
        <v>0424</v>
      </c>
      <c r="D115" s="56" t="s">
        <v>293</v>
      </c>
      <c r="E115" s="55" t="s">
        <v>20</v>
      </c>
      <c r="F115" s="45" t="str">
        <f t="shared" si="1"/>
        <v>#REF!</v>
      </c>
      <c r="G115" s="45" t="str">
        <f t="shared" si="2"/>
        <v>#REF!</v>
      </c>
      <c r="H115" s="57" t="s">
        <v>21</v>
      </c>
      <c r="I115" s="48" t="s">
        <v>63</v>
      </c>
      <c r="J115" s="57" t="s">
        <v>20</v>
      </c>
      <c r="K115" s="60" t="s">
        <v>294</v>
      </c>
      <c r="L115" s="60" t="s">
        <v>295</v>
      </c>
      <c r="M115" s="49" t="s">
        <v>287</v>
      </c>
      <c r="N115" s="60" t="s">
        <v>25</v>
      </c>
      <c r="O115" s="60" t="s">
        <v>272</v>
      </c>
      <c r="P115" s="61" t="s">
        <v>296</v>
      </c>
    </row>
    <row r="116">
      <c r="A116" s="51">
        <v>1103.0</v>
      </c>
      <c r="B116" s="51">
        <v>1103.0</v>
      </c>
      <c r="C116" s="34">
        <f>IFERROR(__xludf.DUMMYFUNCTION("if(B116&lt;=999,if(B116&lt;=99,IF(B116&lt;=9,join(,""000"",B116),join(,""00"",B116)),join(,""0"",B116)),B116)"),1103.0)</f>
        <v>1103</v>
      </c>
      <c r="D116" s="52" t="s">
        <v>297</v>
      </c>
      <c r="E116" s="53" t="s">
        <v>20</v>
      </c>
      <c r="F116" s="34" t="str">
        <f t="shared" si="1"/>
        <v>#REF!</v>
      </c>
      <c r="G116" s="34" t="str">
        <f t="shared" si="2"/>
        <v>#REF!</v>
      </c>
      <c r="H116" s="54" t="s">
        <v>21</v>
      </c>
      <c r="I116" s="37" t="s">
        <v>22</v>
      </c>
      <c r="J116" s="54" t="s">
        <v>35</v>
      </c>
      <c r="K116" s="42" t="s">
        <v>23</v>
      </c>
      <c r="L116" s="62" t="s">
        <v>298</v>
      </c>
      <c r="M116" s="64"/>
      <c r="N116" s="62" t="s">
        <v>25</v>
      </c>
      <c r="O116" s="42" t="s">
        <v>25</v>
      </c>
      <c r="P116" s="43" t="s">
        <v>299</v>
      </c>
    </row>
    <row r="117">
      <c r="A117" s="51">
        <v>533.0</v>
      </c>
      <c r="B117" s="51">
        <v>533.0</v>
      </c>
      <c r="C117" s="34" t="str">
        <f>IFERROR(__xludf.DUMMYFUNCTION("if(B117&lt;=999,if(B117&lt;=99,IF(B117&lt;=9,join(,""000"",B117),join(,""00"",B117)),join(,""0"",B117)),B117)"),"0533")</f>
        <v>0533</v>
      </c>
      <c r="D117" s="52" t="s">
        <v>300</v>
      </c>
      <c r="E117" s="53" t="s">
        <v>20</v>
      </c>
      <c r="F117" s="34" t="str">
        <f t="shared" si="1"/>
        <v>#REF!</v>
      </c>
      <c r="G117" s="34" t="str">
        <f t="shared" si="2"/>
        <v>#REF!</v>
      </c>
      <c r="H117" s="54" t="s">
        <v>21</v>
      </c>
      <c r="I117" s="37" t="s">
        <v>22</v>
      </c>
      <c r="J117" s="54" t="s">
        <v>35</v>
      </c>
      <c r="K117" s="42"/>
      <c r="L117" s="42"/>
      <c r="M117" s="38" t="e">
        <v>#N/A</v>
      </c>
      <c r="N117" s="42"/>
      <c r="O117" s="42"/>
      <c r="P117" s="43" t="s">
        <v>301</v>
      </c>
    </row>
    <row r="118">
      <c r="A118" s="51">
        <v>687.0</v>
      </c>
      <c r="B118" s="51">
        <v>687.0</v>
      </c>
      <c r="C118" s="34" t="str">
        <f>IFERROR(__xludf.DUMMYFUNCTION("if(B118&lt;=999,if(B118&lt;=99,IF(B118&lt;=9,join(,""000"",B118),join(,""00"",B118)),join(,""0"",B118)),B118)"),"0687")</f>
        <v>0687</v>
      </c>
      <c r="D118" s="52" t="s">
        <v>302</v>
      </c>
      <c r="E118" s="53" t="s">
        <v>35</v>
      </c>
      <c r="F118" s="34" t="str">
        <f t="shared" si="1"/>
        <v>#REF!</v>
      </c>
      <c r="G118" s="34" t="str">
        <f t="shared" si="2"/>
        <v>#REF!</v>
      </c>
      <c r="H118" s="54" t="s">
        <v>21</v>
      </c>
      <c r="I118" s="44"/>
      <c r="J118" s="54"/>
      <c r="K118" s="42"/>
      <c r="L118" s="42"/>
      <c r="M118" s="38" t="e">
        <v>#N/A</v>
      </c>
      <c r="N118" s="42"/>
      <c r="O118" s="42"/>
      <c r="P118" s="43"/>
    </row>
    <row r="119">
      <c r="A119" s="51">
        <v>242.0</v>
      </c>
      <c r="B119" s="51">
        <v>242.0</v>
      </c>
      <c r="C119" s="34" t="str">
        <f>IFERROR(__xludf.DUMMYFUNCTION("if(B119&lt;=999,if(B119&lt;=99,IF(B119&lt;=9,join(,""000"",B119),join(,""00"",B119)),join(,""0"",B119)),B119)"),"0242")</f>
        <v>0242</v>
      </c>
      <c r="D119" s="52" t="s">
        <v>303</v>
      </c>
      <c r="E119" s="53" t="s">
        <v>20</v>
      </c>
      <c r="F119" s="34" t="str">
        <f t="shared" si="1"/>
        <v>#REF!</v>
      </c>
      <c r="G119" s="34" t="str">
        <f t="shared" si="2"/>
        <v>#REF!</v>
      </c>
      <c r="H119" s="54" t="s">
        <v>21</v>
      </c>
      <c r="I119" s="37" t="s">
        <v>77</v>
      </c>
      <c r="J119" s="54"/>
      <c r="K119" s="42"/>
      <c r="L119" s="42"/>
      <c r="M119" s="38">
        <v>8.0</v>
      </c>
      <c r="N119" s="42"/>
      <c r="O119" s="42"/>
      <c r="P119" s="43" t="s">
        <v>46</v>
      </c>
    </row>
    <row r="120">
      <c r="A120" s="51">
        <v>249.0</v>
      </c>
      <c r="B120" s="51">
        <v>249.0</v>
      </c>
      <c r="C120" s="34" t="str">
        <f>IFERROR(__xludf.DUMMYFUNCTION("if(B120&lt;=999,if(B120&lt;=99,IF(B120&lt;=9,join(,""000"",B120),join(,""00"",B120)),join(,""0"",B120)),B120)"),"0249")</f>
        <v>0249</v>
      </c>
      <c r="D120" s="52" t="s">
        <v>304</v>
      </c>
      <c r="E120" s="53" t="s">
        <v>35</v>
      </c>
      <c r="F120" s="34" t="str">
        <f t="shared" si="1"/>
        <v>#REF!</v>
      </c>
      <c r="G120" s="34" t="str">
        <f t="shared" si="2"/>
        <v>#REF!</v>
      </c>
      <c r="H120" s="54" t="s">
        <v>21</v>
      </c>
      <c r="I120" s="44"/>
      <c r="J120" s="54"/>
      <c r="K120" s="42"/>
      <c r="L120" s="42"/>
      <c r="M120" s="38" t="e">
        <v>#N/A</v>
      </c>
      <c r="N120" s="42"/>
      <c r="O120" s="42"/>
      <c r="P120" s="43"/>
    </row>
    <row r="121">
      <c r="A121" s="51">
        <v>1369.0</v>
      </c>
      <c r="B121" s="51">
        <v>1369.0</v>
      </c>
      <c r="C121" s="34">
        <f>IFERROR(__xludf.DUMMYFUNCTION("if(B121&lt;=999,if(B121&lt;=99,IF(B121&lt;=9,join(,""000"",B121),join(,""00"",B121)),join(,""0"",B121)),B121)"),1369.0)</f>
        <v>1369</v>
      </c>
      <c r="D121" s="52" t="s">
        <v>305</v>
      </c>
      <c r="E121" s="53" t="s">
        <v>20</v>
      </c>
      <c r="F121" s="34" t="str">
        <f t="shared" si="1"/>
        <v>#REF!</v>
      </c>
      <c r="G121" s="34" t="str">
        <f t="shared" si="2"/>
        <v>#REF!</v>
      </c>
      <c r="H121" s="54" t="s">
        <v>21</v>
      </c>
      <c r="I121" s="37" t="s">
        <v>77</v>
      </c>
      <c r="J121" s="54" t="s">
        <v>35</v>
      </c>
      <c r="K121" s="42"/>
      <c r="L121" s="42"/>
      <c r="M121" s="38">
        <v>4.250593433136E12</v>
      </c>
      <c r="N121" s="42"/>
      <c r="O121" s="42"/>
      <c r="P121" s="43" t="s">
        <v>46</v>
      </c>
    </row>
    <row r="122">
      <c r="A122" s="51">
        <v>1182.0</v>
      </c>
      <c r="B122" s="51">
        <v>1182.0</v>
      </c>
      <c r="C122" s="34">
        <f>IFERROR(__xludf.DUMMYFUNCTION("if(B122&lt;=999,if(B122&lt;=99,IF(B122&lt;=9,join(,""000"",B122),join(,""00"",B122)),join(,""0"",B122)),B122)"),1182.0)</f>
        <v>1182</v>
      </c>
      <c r="D122" s="52" t="s">
        <v>306</v>
      </c>
      <c r="E122" s="53" t="s">
        <v>20</v>
      </c>
      <c r="F122" s="34" t="str">
        <f t="shared" si="1"/>
        <v>#REF!</v>
      </c>
      <c r="G122" s="34" t="str">
        <f t="shared" si="2"/>
        <v>#REF!</v>
      </c>
      <c r="H122" s="54" t="s">
        <v>21</v>
      </c>
      <c r="I122" s="37" t="s">
        <v>22</v>
      </c>
      <c r="J122" s="54" t="s">
        <v>35</v>
      </c>
      <c r="K122" s="42"/>
      <c r="L122" s="42"/>
      <c r="M122" s="38">
        <v>80.0</v>
      </c>
      <c r="N122" s="42"/>
      <c r="O122" s="42"/>
      <c r="P122" s="43" t="s">
        <v>130</v>
      </c>
    </row>
    <row r="123">
      <c r="A123" s="51">
        <v>224.0</v>
      </c>
      <c r="B123" s="51">
        <v>224.0</v>
      </c>
      <c r="C123" s="34" t="str">
        <f>IFERROR(__xludf.DUMMYFUNCTION("if(B123&lt;=999,if(B123&lt;=99,IF(B123&lt;=9,join(,""000"",B123),join(,""00"",B123)),join(,""0"",B123)),B123)"),"0224")</f>
        <v>0224</v>
      </c>
      <c r="D123" s="52" t="s">
        <v>307</v>
      </c>
      <c r="E123" s="53" t="s">
        <v>20</v>
      </c>
      <c r="F123" s="34" t="str">
        <f t="shared" si="1"/>
        <v>#REF!</v>
      </c>
      <c r="G123" s="34" t="str">
        <f t="shared" si="2"/>
        <v>#REF!</v>
      </c>
      <c r="H123" s="54" t="s">
        <v>21</v>
      </c>
      <c r="I123" s="37" t="s">
        <v>99</v>
      </c>
      <c r="J123" s="54" t="s">
        <v>20</v>
      </c>
      <c r="K123" s="42" t="s">
        <v>23</v>
      </c>
      <c r="L123" s="36" t="s">
        <v>308</v>
      </c>
      <c r="M123" s="38">
        <v>80.0</v>
      </c>
      <c r="N123" s="62" t="s">
        <v>25</v>
      </c>
      <c r="O123" s="62" t="s">
        <v>309</v>
      </c>
      <c r="P123" s="43" t="s">
        <v>66</v>
      </c>
    </row>
    <row r="124">
      <c r="A124" s="51">
        <v>1405.0</v>
      </c>
      <c r="B124" s="51">
        <v>1405.0</v>
      </c>
      <c r="C124" s="34">
        <f>IFERROR(__xludf.DUMMYFUNCTION("if(B124&lt;=999,if(B124&lt;=99,IF(B124&lt;=9,join(,""000"",B124),join(,""00"",B124)),join(,""0"",B124)),B124)"),1405.0)</f>
        <v>1405</v>
      </c>
      <c r="D124" s="52" t="s">
        <v>310</v>
      </c>
      <c r="E124" s="53" t="s">
        <v>20</v>
      </c>
      <c r="F124" s="34" t="str">
        <f t="shared" si="1"/>
        <v>#REF!</v>
      </c>
      <c r="G124" s="34" t="str">
        <f t="shared" si="2"/>
        <v>#REF!</v>
      </c>
      <c r="H124" s="54" t="s">
        <v>21</v>
      </c>
      <c r="I124" s="37" t="s">
        <v>99</v>
      </c>
      <c r="J124" s="54" t="s">
        <v>20</v>
      </c>
      <c r="K124" s="63"/>
      <c r="L124" s="63" t="s">
        <v>311</v>
      </c>
      <c r="M124" s="38" t="e">
        <v>#N/A</v>
      </c>
      <c r="N124" s="63" t="s">
        <v>25</v>
      </c>
      <c r="O124" s="63" t="s">
        <v>86</v>
      </c>
      <c r="P124" s="63"/>
    </row>
    <row r="125">
      <c r="A125" s="51">
        <v>1049.0</v>
      </c>
      <c r="B125" s="51">
        <v>1049.0</v>
      </c>
      <c r="C125" s="34">
        <f>IFERROR(__xludf.DUMMYFUNCTION("if(B125&lt;=999,if(B125&lt;=99,IF(B125&lt;=9,join(,""000"",B125),join(,""00"",B125)),join(,""0"",B125)),B125)"),1049.0)</f>
        <v>1049</v>
      </c>
      <c r="D125" s="52" t="s">
        <v>312</v>
      </c>
      <c r="E125" s="53" t="s">
        <v>20</v>
      </c>
      <c r="F125" s="34" t="str">
        <f t="shared" si="1"/>
        <v>#REF!</v>
      </c>
      <c r="G125" s="34" t="str">
        <f t="shared" si="2"/>
        <v>#REF!</v>
      </c>
      <c r="H125" s="54" t="s">
        <v>21</v>
      </c>
      <c r="I125" s="37" t="s">
        <v>99</v>
      </c>
      <c r="J125" s="54" t="s">
        <v>20</v>
      </c>
      <c r="K125" s="63" t="s">
        <v>95</v>
      </c>
      <c r="L125" s="63" t="s">
        <v>313</v>
      </c>
      <c r="M125" s="38">
        <v>25001.0</v>
      </c>
      <c r="N125" s="63" t="s">
        <v>25</v>
      </c>
      <c r="O125" s="63" t="s">
        <v>86</v>
      </c>
      <c r="P125" s="63" t="s">
        <v>314</v>
      </c>
    </row>
    <row r="126">
      <c r="A126" s="51">
        <v>1142.0</v>
      </c>
      <c r="B126" s="51">
        <v>1142.0</v>
      </c>
      <c r="C126" s="34">
        <f>IFERROR(__xludf.DUMMYFUNCTION("if(B126&lt;=999,if(B126&lt;=99,IF(B126&lt;=9,join(,""000"",B126),join(,""00"",B126)),join(,""0"",B126)),B126)"),1142.0)</f>
        <v>1142</v>
      </c>
      <c r="D126" s="52" t="s">
        <v>315</v>
      </c>
      <c r="E126" s="53" t="s">
        <v>20</v>
      </c>
      <c r="F126" s="34" t="str">
        <f t="shared" si="1"/>
        <v>#REF!</v>
      </c>
      <c r="G126" s="34" t="str">
        <f t="shared" si="2"/>
        <v>#REF!</v>
      </c>
      <c r="H126" s="54" t="s">
        <v>21</v>
      </c>
      <c r="I126" s="37" t="s">
        <v>99</v>
      </c>
      <c r="J126" s="54" t="s">
        <v>20</v>
      </c>
      <c r="K126" s="42" t="s">
        <v>95</v>
      </c>
      <c r="L126" s="42"/>
      <c r="M126" s="38" t="s">
        <v>316</v>
      </c>
      <c r="N126" s="42" t="s">
        <v>25</v>
      </c>
      <c r="O126" s="42" t="s">
        <v>55</v>
      </c>
      <c r="P126" s="43" t="s">
        <v>317</v>
      </c>
    </row>
    <row r="127">
      <c r="A127" s="33">
        <v>1416.0</v>
      </c>
      <c r="B127" s="34">
        <v>1416.0</v>
      </c>
      <c r="C127" s="34">
        <f>IFERROR(__xludf.DUMMYFUNCTION("if(B127&lt;=999,if(B127&lt;=99,IF(B127&lt;=9,join(,""000"",B127),join(,""00"",B127)),join(,""0"",B127)),B127)"),1416.0)</f>
        <v>1416</v>
      </c>
      <c r="D127" s="35" t="s">
        <v>318</v>
      </c>
      <c r="E127" s="34" t="s">
        <v>20</v>
      </c>
      <c r="F127" s="34" t="str">
        <f t="shared" si="1"/>
        <v>#REF!</v>
      </c>
      <c r="G127" s="34" t="str">
        <f t="shared" si="2"/>
        <v>#REF!</v>
      </c>
      <c r="H127" s="36" t="s">
        <v>21</v>
      </c>
      <c r="I127" s="37" t="s">
        <v>99</v>
      </c>
      <c r="J127" s="36" t="s">
        <v>35</v>
      </c>
      <c r="K127" s="38"/>
      <c r="L127" s="42"/>
      <c r="M127" s="38" t="e">
        <v>#N/A</v>
      </c>
      <c r="N127" s="38"/>
      <c r="O127" s="38"/>
      <c r="P127" s="39" t="s">
        <v>289</v>
      </c>
    </row>
    <row r="128">
      <c r="A128" s="51">
        <v>1345.0</v>
      </c>
      <c r="B128" s="51">
        <v>1345.0</v>
      </c>
      <c r="C128" s="34">
        <f>IFERROR(__xludf.DUMMYFUNCTION("if(B128&lt;=999,if(B128&lt;=99,IF(B128&lt;=9,join(,""000"",B128),join(,""00"",B128)),join(,""0"",B128)),B128)"),1345.0)</f>
        <v>1345</v>
      </c>
      <c r="D128" s="52" t="s">
        <v>319</v>
      </c>
      <c r="E128" s="53" t="s">
        <v>20</v>
      </c>
      <c r="F128" s="34" t="str">
        <f t="shared" si="1"/>
        <v>#REF!</v>
      </c>
      <c r="G128" s="34" t="str">
        <f t="shared" si="2"/>
        <v>#REF!</v>
      </c>
      <c r="H128" s="54" t="s">
        <v>21</v>
      </c>
      <c r="I128" s="37" t="s">
        <v>101</v>
      </c>
      <c r="J128" s="54" t="s">
        <v>20</v>
      </c>
      <c r="K128" s="42" t="s">
        <v>95</v>
      </c>
      <c r="L128" s="36" t="s">
        <v>320</v>
      </c>
      <c r="M128" s="38">
        <v>32.0</v>
      </c>
      <c r="N128" s="62" t="s">
        <v>25</v>
      </c>
      <c r="O128" s="62" t="s">
        <v>321</v>
      </c>
      <c r="P128" s="43" t="s">
        <v>56</v>
      </c>
    </row>
    <row r="129">
      <c r="A129" s="51">
        <v>1273.0</v>
      </c>
      <c r="B129" s="51">
        <v>1273.0</v>
      </c>
      <c r="C129" s="34">
        <f>IFERROR(__xludf.DUMMYFUNCTION("if(B129&lt;=999,if(B129&lt;=99,IF(B129&lt;=9,join(,""000"",B129),join(,""00"",B129)),join(,""0"",B129)),B129)"),1273.0)</f>
        <v>1273</v>
      </c>
      <c r="D129" s="52" t="s">
        <v>322</v>
      </c>
      <c r="E129" s="53" t="s">
        <v>20</v>
      </c>
      <c r="F129" s="34" t="str">
        <f t="shared" si="1"/>
        <v>#REF!</v>
      </c>
      <c r="G129" s="34" t="str">
        <f t="shared" si="2"/>
        <v>#REF!</v>
      </c>
      <c r="H129" s="54" t="s">
        <v>21</v>
      </c>
      <c r="I129" s="37" t="s">
        <v>99</v>
      </c>
      <c r="J129" s="54" t="s">
        <v>35</v>
      </c>
      <c r="K129" s="42"/>
      <c r="L129" s="42"/>
      <c r="M129" s="38">
        <v>8.0</v>
      </c>
      <c r="N129" s="42"/>
      <c r="O129" s="42"/>
      <c r="P129" s="43" t="s">
        <v>43</v>
      </c>
    </row>
    <row r="130">
      <c r="A130" s="51">
        <v>1204.0</v>
      </c>
      <c r="B130" s="51">
        <v>1204.0</v>
      </c>
      <c r="C130" s="34">
        <f>IFERROR(__xludf.DUMMYFUNCTION("if(B130&lt;=999,if(B130&lt;=99,IF(B130&lt;=9,join(,""000"",B130),join(,""00"",B130)),join(,""0"",B130)),B130)"),1204.0)</f>
        <v>1204</v>
      </c>
      <c r="E130" s="53" t="s">
        <v>35</v>
      </c>
      <c r="F130" s="34" t="str">
        <f t="shared" si="1"/>
        <v>#REF!</v>
      </c>
      <c r="G130" s="34" t="str">
        <f t="shared" si="2"/>
        <v>#REF!</v>
      </c>
      <c r="H130" s="54" t="s">
        <v>21</v>
      </c>
      <c r="I130" s="44"/>
      <c r="J130" s="54"/>
      <c r="K130" s="42"/>
      <c r="L130" s="42"/>
      <c r="M130" s="38" t="e">
        <v>#N/A</v>
      </c>
      <c r="N130" s="42"/>
      <c r="O130" s="42"/>
      <c r="P130" s="43"/>
    </row>
    <row r="131">
      <c r="A131" s="51">
        <v>538.0</v>
      </c>
      <c r="B131" s="51">
        <v>538.0</v>
      </c>
      <c r="C131" s="34" t="str">
        <f>IFERROR(__xludf.DUMMYFUNCTION("if(B131&lt;=999,if(B131&lt;=99,IF(B131&lt;=9,join(,""000"",B131),join(,""00"",B131)),join(,""0"",B131)),B131)"),"0538")</f>
        <v>0538</v>
      </c>
      <c r="D131" s="52" t="s">
        <v>323</v>
      </c>
      <c r="E131" s="53" t="s">
        <v>20</v>
      </c>
      <c r="F131" s="34" t="str">
        <f t="shared" si="1"/>
        <v>#REF!</v>
      </c>
      <c r="G131" s="34" t="str">
        <f t="shared" si="2"/>
        <v>#REF!</v>
      </c>
      <c r="H131" s="54" t="s">
        <v>21</v>
      </c>
      <c r="I131" s="37" t="s">
        <v>22</v>
      </c>
      <c r="J131" s="54" t="s">
        <v>35</v>
      </c>
      <c r="K131" s="42"/>
      <c r="L131" s="42"/>
      <c r="M131" s="38" t="e">
        <v>#N/A</v>
      </c>
      <c r="N131" s="42"/>
      <c r="O131" s="42"/>
      <c r="P131" s="43" t="s">
        <v>154</v>
      </c>
    </row>
    <row r="132">
      <c r="A132" s="51">
        <v>367.0</v>
      </c>
      <c r="B132" s="51">
        <v>367.0</v>
      </c>
      <c r="C132" s="34" t="str">
        <f>IFERROR(__xludf.DUMMYFUNCTION("if(B132&lt;=999,if(B132&lt;=99,IF(B132&lt;=9,join(,""000"",B132),join(,""00"",B132)),join(,""0"",B132)),B132)"),"0367")</f>
        <v>0367</v>
      </c>
      <c r="D132" s="52" t="s">
        <v>324</v>
      </c>
      <c r="E132" s="53" t="s">
        <v>20</v>
      </c>
      <c r="F132" s="34" t="str">
        <f t="shared" si="1"/>
        <v>#REF!</v>
      </c>
      <c r="G132" s="34" t="str">
        <f t="shared" si="2"/>
        <v>#REF!</v>
      </c>
      <c r="H132" s="54" t="s">
        <v>21</v>
      </c>
      <c r="I132" s="37" t="s">
        <v>63</v>
      </c>
      <c r="J132" s="54" t="s">
        <v>20</v>
      </c>
      <c r="K132" s="42" t="s">
        <v>23</v>
      </c>
      <c r="L132" s="42" t="s">
        <v>325</v>
      </c>
      <c r="M132" s="38" t="s">
        <v>326</v>
      </c>
      <c r="N132" s="42" t="s">
        <v>25</v>
      </c>
      <c r="O132" s="42" t="s">
        <v>256</v>
      </c>
      <c r="P132" s="59" t="s">
        <v>327</v>
      </c>
    </row>
    <row r="133">
      <c r="A133" s="51">
        <v>1032.0</v>
      </c>
      <c r="B133" s="51">
        <v>1032.0</v>
      </c>
      <c r="C133" s="34">
        <f>IFERROR(__xludf.DUMMYFUNCTION("if(B133&lt;=999,if(B133&lt;=99,IF(B133&lt;=9,join(,""000"",B133),join(,""00"",B133)),join(,""0"",B133)),B133)"),1032.0)</f>
        <v>1032</v>
      </c>
      <c r="D133" s="52" t="s">
        <v>328</v>
      </c>
      <c r="E133" s="53" t="s">
        <v>20</v>
      </c>
      <c r="F133" s="34" t="str">
        <f t="shared" si="1"/>
        <v>#REF!</v>
      </c>
      <c r="G133" s="34" t="str">
        <f t="shared" si="2"/>
        <v>#REF!</v>
      </c>
      <c r="H133" s="54" t="s">
        <v>21</v>
      </c>
      <c r="I133" s="37" t="s">
        <v>77</v>
      </c>
      <c r="J133" s="54"/>
      <c r="K133" s="42"/>
      <c r="L133" s="42"/>
      <c r="M133" s="38">
        <v>16.0</v>
      </c>
      <c r="N133" s="42"/>
      <c r="O133" s="42"/>
      <c r="P133" s="43" t="s">
        <v>46</v>
      </c>
    </row>
    <row r="134">
      <c r="A134" s="55">
        <v>1094.0</v>
      </c>
      <c r="B134" s="55">
        <v>1094.0</v>
      </c>
      <c r="C134" s="45">
        <f>IFERROR(__xludf.DUMMYFUNCTION("if(B134&lt;=999,if(B134&lt;=99,IF(B134&lt;=9,join(,""000"",B134),join(,""00"",B134)),join(,""0"",B134)),B134)"),1094.0)</f>
        <v>1094</v>
      </c>
      <c r="D134" s="56" t="s">
        <v>329</v>
      </c>
      <c r="E134" s="55" t="s">
        <v>20</v>
      </c>
      <c r="F134" s="45" t="str">
        <f t="shared" si="1"/>
        <v>#REF!</v>
      </c>
      <c r="G134" s="45" t="str">
        <f t="shared" si="2"/>
        <v>#REF!</v>
      </c>
      <c r="H134" s="57" t="s">
        <v>21</v>
      </c>
      <c r="I134" s="48" t="s">
        <v>101</v>
      </c>
      <c r="J134" s="57" t="s">
        <v>35</v>
      </c>
      <c r="K134" s="60" t="s">
        <v>330</v>
      </c>
      <c r="L134" s="72" t="s">
        <v>331</v>
      </c>
      <c r="M134" s="49">
        <v>16.0</v>
      </c>
      <c r="N134" s="60" t="s">
        <v>25</v>
      </c>
      <c r="O134" s="60" t="s">
        <v>55</v>
      </c>
      <c r="P134" s="61" t="s">
        <v>332</v>
      </c>
    </row>
    <row r="135">
      <c r="A135" s="51">
        <v>1340.0</v>
      </c>
      <c r="B135" s="51">
        <v>1340.0</v>
      </c>
      <c r="C135" s="34">
        <f>IFERROR(__xludf.DUMMYFUNCTION("if(B135&lt;=999,if(B135&lt;=99,IF(B135&lt;=9,join(,""000"",B135),join(,""00"",B135)),join(,""0"",B135)),B135)"),1340.0)</f>
        <v>1340</v>
      </c>
      <c r="D135" s="52" t="s">
        <v>333</v>
      </c>
      <c r="E135" s="53" t="s">
        <v>20</v>
      </c>
      <c r="F135" s="34" t="str">
        <f t="shared" si="1"/>
        <v>#REF!</v>
      </c>
      <c r="G135" s="34" t="str">
        <f t="shared" si="2"/>
        <v>#REF!</v>
      </c>
      <c r="H135" s="54" t="s">
        <v>21</v>
      </c>
      <c r="I135" s="37" t="s">
        <v>77</v>
      </c>
      <c r="J135" s="54" t="s">
        <v>35</v>
      </c>
      <c r="K135" s="42"/>
      <c r="L135" s="42"/>
      <c r="M135" s="38" t="s">
        <v>334</v>
      </c>
      <c r="N135" s="42"/>
      <c r="O135" s="42"/>
      <c r="P135" s="43" t="s">
        <v>87</v>
      </c>
    </row>
    <row r="136">
      <c r="A136" s="33">
        <v>1122.0</v>
      </c>
      <c r="B136" s="34">
        <v>1122.0</v>
      </c>
      <c r="C136" s="34">
        <f>IFERROR(__xludf.DUMMYFUNCTION("if(B136&lt;=999,if(B136&lt;=99,IF(B136&lt;=9,join(,""000"",B136),join(,""00"",B136)),join(,""0"",B136)),B136)"),1122.0)</f>
        <v>1122</v>
      </c>
      <c r="D136" s="35" t="s">
        <v>335</v>
      </c>
      <c r="E136" s="53" t="s">
        <v>20</v>
      </c>
      <c r="F136" s="34" t="str">
        <f t="shared" si="1"/>
        <v>#REF!</v>
      </c>
      <c r="G136" s="34" t="str">
        <f t="shared" si="2"/>
        <v>#REF!</v>
      </c>
      <c r="H136" s="36" t="s">
        <v>21</v>
      </c>
      <c r="I136" s="37" t="s">
        <v>101</v>
      </c>
      <c r="J136" s="36" t="s">
        <v>35</v>
      </c>
      <c r="K136" s="38"/>
      <c r="L136" s="42"/>
      <c r="M136" s="38" t="s">
        <v>336</v>
      </c>
      <c r="N136" s="38"/>
      <c r="O136" s="38"/>
      <c r="P136" s="39" t="s">
        <v>43</v>
      </c>
    </row>
    <row r="137">
      <c r="A137" s="55">
        <v>1279.0</v>
      </c>
      <c r="B137" s="55">
        <v>1279.0</v>
      </c>
      <c r="C137" s="45">
        <f>IFERROR(__xludf.DUMMYFUNCTION("if(B137&lt;=999,if(B137&lt;=99,IF(B137&lt;=9,join(,""000"",B137),join(,""00"",B137)),join(,""0"",B137)),B137)"),1279.0)</f>
        <v>1279</v>
      </c>
      <c r="D137" s="56" t="s">
        <v>337</v>
      </c>
      <c r="E137" s="55" t="s">
        <v>20</v>
      </c>
      <c r="F137" s="45" t="str">
        <f t="shared" si="1"/>
        <v>#REF!</v>
      </c>
      <c r="G137" s="45" t="str">
        <f t="shared" si="2"/>
        <v>#REF!</v>
      </c>
      <c r="H137" s="57" t="s">
        <v>21</v>
      </c>
      <c r="I137" s="48" t="s">
        <v>99</v>
      </c>
      <c r="J137" s="57" t="s">
        <v>35</v>
      </c>
      <c r="K137" s="60"/>
      <c r="L137" s="60" t="s">
        <v>338</v>
      </c>
      <c r="M137" s="49" t="e">
        <v>#N/A</v>
      </c>
      <c r="N137" s="60"/>
      <c r="O137" s="60"/>
      <c r="P137" s="61" t="s">
        <v>292</v>
      </c>
    </row>
    <row r="138">
      <c r="A138" s="33">
        <v>1105.0</v>
      </c>
      <c r="B138" s="34">
        <v>1105.0</v>
      </c>
      <c r="C138" s="34">
        <f>IFERROR(__xludf.DUMMYFUNCTION("if(B138&lt;=999,if(B138&lt;=99,IF(B138&lt;=9,join(,""000"",B138),join(,""00"",B138)),join(,""0"",B138)),B138)"),1105.0)</f>
        <v>1105</v>
      </c>
      <c r="D138" s="35" t="s">
        <v>339</v>
      </c>
      <c r="E138" s="34" t="s">
        <v>20</v>
      </c>
      <c r="F138" s="34" t="str">
        <f t="shared" si="1"/>
        <v>#REF!</v>
      </c>
      <c r="G138" s="34" t="str">
        <f t="shared" si="2"/>
        <v>#REF!</v>
      </c>
      <c r="H138" s="36" t="s">
        <v>21</v>
      </c>
      <c r="I138" s="37" t="s">
        <v>99</v>
      </c>
      <c r="J138" s="36" t="s">
        <v>35</v>
      </c>
      <c r="K138" s="38"/>
      <c r="L138" s="42"/>
      <c r="M138" s="38">
        <v>36666.0</v>
      </c>
      <c r="N138" s="38"/>
      <c r="O138" s="38"/>
      <c r="P138" s="39" t="s">
        <v>43</v>
      </c>
    </row>
    <row r="139">
      <c r="A139" s="33">
        <v>1454.0</v>
      </c>
      <c r="B139" s="34">
        <v>1454.0</v>
      </c>
      <c r="C139" s="34">
        <f>IFERROR(__xludf.DUMMYFUNCTION("if(B139&lt;=999,if(B139&lt;=99,IF(B139&lt;=9,join(,""000"",B139),join(,""00"",B139)),join(,""0"",B139)),B139)"),1454.0)</f>
        <v>1454</v>
      </c>
      <c r="D139" s="35" t="s">
        <v>340</v>
      </c>
      <c r="E139" s="34" t="s">
        <v>20</v>
      </c>
      <c r="F139" s="34" t="str">
        <f t="shared" si="1"/>
        <v>#REF!</v>
      </c>
      <c r="G139" s="34" t="str">
        <f t="shared" si="2"/>
        <v>#REF!</v>
      </c>
      <c r="H139" s="36" t="s">
        <v>21</v>
      </c>
      <c r="I139" s="37" t="s">
        <v>101</v>
      </c>
      <c r="J139" s="36" t="s">
        <v>35</v>
      </c>
      <c r="K139" s="38" t="s">
        <v>28</v>
      </c>
      <c r="L139" s="36" t="s">
        <v>341</v>
      </c>
      <c r="M139" s="38">
        <v>16.0</v>
      </c>
      <c r="N139" s="62" t="s">
        <v>25</v>
      </c>
      <c r="O139" s="62" t="s">
        <v>342</v>
      </c>
      <c r="P139" s="39" t="s">
        <v>43</v>
      </c>
    </row>
    <row r="140">
      <c r="A140" s="51">
        <v>1411.0</v>
      </c>
      <c r="B140" s="51">
        <v>1411.0</v>
      </c>
      <c r="C140" s="34">
        <f>IFERROR(__xludf.DUMMYFUNCTION("if(B140&lt;=999,if(B140&lt;=99,IF(B140&lt;=9,join(,""000"",B140),join(,""00"",B140)),join(,""0"",B140)),B140)"),1411.0)</f>
        <v>1411</v>
      </c>
      <c r="D140" s="52" t="s">
        <v>343</v>
      </c>
      <c r="E140" s="53" t="s">
        <v>20</v>
      </c>
      <c r="F140" s="34" t="str">
        <f t="shared" si="1"/>
        <v>#REF!</v>
      </c>
      <c r="G140" s="34" t="str">
        <f t="shared" si="2"/>
        <v>#REF!</v>
      </c>
      <c r="H140" s="54" t="s">
        <v>21</v>
      </c>
      <c r="I140" s="37" t="s">
        <v>77</v>
      </c>
      <c r="J140" s="54" t="s">
        <v>35</v>
      </c>
      <c r="K140" s="42"/>
      <c r="L140" s="42"/>
      <c r="M140" s="38">
        <v>32.0</v>
      </c>
      <c r="N140" s="42"/>
      <c r="O140" s="42"/>
      <c r="P140" s="43" t="s">
        <v>204</v>
      </c>
    </row>
    <row r="141">
      <c r="A141" s="51">
        <v>1116.0</v>
      </c>
      <c r="B141" s="51">
        <v>1116.0</v>
      </c>
      <c r="C141" s="34">
        <f>IFERROR(__xludf.DUMMYFUNCTION("if(B141&lt;=999,if(B141&lt;=99,IF(B141&lt;=9,join(,""000"",B141),join(,""00"",B141)),join(,""0"",B141)),B141)"),1116.0)</f>
        <v>1116</v>
      </c>
      <c r="D141" s="52" t="s">
        <v>344</v>
      </c>
      <c r="E141" s="53" t="s">
        <v>20</v>
      </c>
      <c r="F141" s="34" t="str">
        <f t="shared" si="1"/>
        <v>#REF!</v>
      </c>
      <c r="G141" s="34" t="str">
        <f t="shared" si="2"/>
        <v>#REF!</v>
      </c>
      <c r="H141" s="54" t="s">
        <v>21</v>
      </c>
      <c r="I141" s="37" t="s">
        <v>101</v>
      </c>
      <c r="J141" s="54" t="s">
        <v>20</v>
      </c>
      <c r="K141" s="42"/>
      <c r="L141" s="42" t="s">
        <v>345</v>
      </c>
      <c r="M141" s="38" t="s">
        <v>346</v>
      </c>
      <c r="N141" s="42" t="s">
        <v>347</v>
      </c>
      <c r="O141" s="42" t="s">
        <v>348</v>
      </c>
      <c r="P141" s="43" t="s">
        <v>97</v>
      </c>
    </row>
    <row r="142">
      <c r="A142" s="33">
        <v>1337.0</v>
      </c>
      <c r="B142" s="34">
        <v>1337.0</v>
      </c>
      <c r="C142" s="34">
        <f>IFERROR(__xludf.DUMMYFUNCTION("if(B142&lt;=999,if(B142&lt;=99,IF(B142&lt;=9,join(,""000"",B142),join(,""00"",B142)),join(,""0"",B142)),B142)"),1337.0)</f>
        <v>1337</v>
      </c>
      <c r="D142" s="35" t="s">
        <v>349</v>
      </c>
      <c r="E142" s="34" t="s">
        <v>20</v>
      </c>
      <c r="F142" s="34" t="str">
        <f t="shared" si="1"/>
        <v>#REF!</v>
      </c>
      <c r="G142" s="34" t="str">
        <f t="shared" si="2"/>
        <v>#REF!</v>
      </c>
      <c r="H142" s="36" t="s">
        <v>21</v>
      </c>
      <c r="I142" s="37" t="s">
        <v>34</v>
      </c>
      <c r="J142" s="36" t="s">
        <v>35</v>
      </c>
      <c r="K142" s="38"/>
      <c r="L142" s="42"/>
      <c r="M142" s="38">
        <v>25001.0</v>
      </c>
      <c r="N142" s="38"/>
      <c r="O142" s="38"/>
      <c r="P142" s="39" t="s">
        <v>130</v>
      </c>
    </row>
    <row r="143">
      <c r="A143" s="51">
        <v>820.0</v>
      </c>
      <c r="B143" s="51">
        <v>820.0</v>
      </c>
      <c r="C143" s="34" t="str">
        <f>IFERROR(__xludf.DUMMYFUNCTION("if(B143&lt;=999,if(B143&lt;=99,IF(B143&lt;=9,join(,""000"",B143),join(,""00"",B143)),join(,""0"",B143)),B143)"),"0820")</f>
        <v>0820</v>
      </c>
      <c r="D143" s="52" t="s">
        <v>350</v>
      </c>
      <c r="E143" s="53" t="s">
        <v>20</v>
      </c>
      <c r="F143" s="34" t="str">
        <f t="shared" si="1"/>
        <v>#REF!</v>
      </c>
      <c r="G143" s="34" t="str">
        <f t="shared" si="2"/>
        <v>#REF!</v>
      </c>
      <c r="H143" s="54" t="s">
        <v>21</v>
      </c>
      <c r="I143" s="37" t="s">
        <v>22</v>
      </c>
      <c r="J143" s="54" t="s">
        <v>35</v>
      </c>
      <c r="K143" s="42"/>
      <c r="L143" s="42"/>
      <c r="M143" s="38">
        <v>25001.0</v>
      </c>
      <c r="N143" s="42"/>
      <c r="O143" s="42"/>
      <c r="P143" s="43" t="s">
        <v>75</v>
      </c>
    </row>
    <row r="144">
      <c r="A144" s="51">
        <v>461.0</v>
      </c>
      <c r="B144" s="51">
        <v>461.0</v>
      </c>
      <c r="C144" s="34" t="str">
        <f>IFERROR(__xludf.DUMMYFUNCTION("if(B144&lt;=999,if(B144&lt;=99,IF(B144&lt;=9,join(,""000"",B144),join(,""00"",B144)),join(,""0"",B144)),B144)"),"0461")</f>
        <v>0461</v>
      </c>
      <c r="D144" s="52" t="s">
        <v>351</v>
      </c>
      <c r="E144" s="53" t="s">
        <v>35</v>
      </c>
      <c r="F144" s="34" t="str">
        <f t="shared" si="1"/>
        <v>#REF!</v>
      </c>
      <c r="G144" s="34" t="str">
        <f t="shared" si="2"/>
        <v>#REF!</v>
      </c>
      <c r="H144" s="54" t="s">
        <v>21</v>
      </c>
      <c r="I144" s="44"/>
      <c r="J144" s="54"/>
      <c r="K144" s="42"/>
      <c r="L144" s="42"/>
      <c r="M144" s="38" t="e">
        <v>#N/A</v>
      </c>
      <c r="N144" s="42"/>
      <c r="O144" s="42"/>
      <c r="P144" s="43"/>
    </row>
    <row r="145">
      <c r="A145" s="33">
        <v>240.0</v>
      </c>
      <c r="B145" s="34">
        <v>240.0</v>
      </c>
      <c r="C145" s="34" t="str">
        <f>IFERROR(__xludf.DUMMYFUNCTION("if(B145&lt;=999,if(B145&lt;=99,IF(B145&lt;=9,join(,""000"",B145),join(,""00"",B145)),join(,""0"",B145)),B145)"),"0240")</f>
        <v>0240</v>
      </c>
      <c r="D145" s="35" t="s">
        <v>352</v>
      </c>
      <c r="E145" s="34" t="s">
        <v>20</v>
      </c>
      <c r="F145" s="34" t="str">
        <f t="shared" si="1"/>
        <v>#REF!</v>
      </c>
      <c r="G145" s="34" t="str">
        <f t="shared" si="2"/>
        <v>#REF!</v>
      </c>
      <c r="H145" s="36" t="s">
        <v>21</v>
      </c>
      <c r="I145" s="37" t="s">
        <v>22</v>
      </c>
      <c r="J145" s="36" t="s">
        <v>35</v>
      </c>
      <c r="K145" s="38"/>
      <c r="L145" s="42"/>
      <c r="M145" s="38" t="e">
        <v>#N/A</v>
      </c>
      <c r="N145" s="38"/>
      <c r="O145" s="38"/>
      <c r="P145" s="39" t="s">
        <v>43</v>
      </c>
    </row>
    <row r="146">
      <c r="A146" s="33">
        <v>1343.0</v>
      </c>
      <c r="B146" s="34">
        <v>1343.0</v>
      </c>
      <c r="C146" s="34">
        <f>IFERROR(__xludf.DUMMYFUNCTION("if(B146&lt;=999,if(B146&lt;=99,IF(B146&lt;=9,join(,""000"",B146),join(,""00"",B146)),join(,""0"",B146)),B146)"),1343.0)</f>
        <v>1343</v>
      </c>
      <c r="D146" s="35" t="s">
        <v>353</v>
      </c>
      <c r="E146" s="34" t="s">
        <v>20</v>
      </c>
      <c r="F146" s="34" t="str">
        <f t="shared" si="1"/>
        <v>#REF!</v>
      </c>
      <c r="G146" s="34" t="str">
        <f t="shared" si="2"/>
        <v>#REF!</v>
      </c>
      <c r="H146" s="36" t="s">
        <v>21</v>
      </c>
      <c r="I146" s="37" t="s">
        <v>354</v>
      </c>
      <c r="J146" s="36" t="s">
        <v>35</v>
      </c>
      <c r="K146" s="38" t="s">
        <v>355</v>
      </c>
      <c r="L146" s="38" t="s">
        <v>356</v>
      </c>
      <c r="M146" s="38" t="e">
        <v>#N/A</v>
      </c>
      <c r="N146" s="38" t="s">
        <v>86</v>
      </c>
      <c r="O146" s="38" t="s">
        <v>55</v>
      </c>
      <c r="P146" s="39" t="s">
        <v>357</v>
      </c>
    </row>
    <row r="147">
      <c r="A147" s="51">
        <v>799.0</v>
      </c>
      <c r="B147" s="51">
        <v>799.0</v>
      </c>
      <c r="C147" s="34" t="str">
        <f>IFERROR(__xludf.DUMMYFUNCTION("if(B147&lt;=999,if(B147&lt;=99,IF(B147&lt;=9,join(,""000"",B147),join(,""00"",B147)),join(,""0"",B147)),B147)"),"0799")</f>
        <v>0799</v>
      </c>
      <c r="D147" s="52" t="s">
        <v>358</v>
      </c>
      <c r="E147" s="53" t="s">
        <v>20</v>
      </c>
      <c r="F147" s="34" t="str">
        <f t="shared" si="1"/>
        <v>#REF!</v>
      </c>
      <c r="G147" s="34" t="str">
        <f t="shared" si="2"/>
        <v>#REF!</v>
      </c>
      <c r="H147" s="54" t="s">
        <v>21</v>
      </c>
      <c r="I147" s="37" t="s">
        <v>22</v>
      </c>
      <c r="J147" s="54" t="s">
        <v>35</v>
      </c>
      <c r="K147" s="42"/>
      <c r="L147" s="42"/>
      <c r="M147" s="38">
        <v>80.0</v>
      </c>
      <c r="N147" s="42"/>
      <c r="O147" s="42"/>
      <c r="P147" s="43" t="s">
        <v>43</v>
      </c>
    </row>
    <row r="148">
      <c r="A148" s="33">
        <v>1429.0</v>
      </c>
      <c r="B148" s="34">
        <v>1429.0</v>
      </c>
      <c r="C148" s="34">
        <f>IFERROR(__xludf.DUMMYFUNCTION("if(B148&lt;=999,if(B148&lt;=99,IF(B148&lt;=9,join(,""000"",B148),join(,""00"",B148)),join(,""0"",B148)),B148)"),1429.0)</f>
        <v>1429</v>
      </c>
      <c r="D148" s="35" t="s">
        <v>359</v>
      </c>
      <c r="E148" s="34" t="s">
        <v>20</v>
      </c>
      <c r="F148" s="34" t="str">
        <f t="shared" si="1"/>
        <v>#REF!</v>
      </c>
      <c r="G148" s="34" t="str">
        <f t="shared" si="2"/>
        <v>#REF!</v>
      </c>
      <c r="H148" s="36" t="s">
        <v>21</v>
      </c>
      <c r="I148" s="37" t="s">
        <v>22</v>
      </c>
      <c r="J148" s="36" t="s">
        <v>20</v>
      </c>
      <c r="K148" s="36" t="s">
        <v>360</v>
      </c>
      <c r="L148" s="38" t="s">
        <v>361</v>
      </c>
      <c r="M148" s="38">
        <v>80.0</v>
      </c>
      <c r="N148" s="38" t="s">
        <v>25</v>
      </c>
      <c r="O148" s="38" t="s">
        <v>288</v>
      </c>
      <c r="P148" s="39" t="s">
        <v>362</v>
      </c>
    </row>
    <row r="149">
      <c r="A149" s="33">
        <v>1051.0</v>
      </c>
      <c r="B149" s="34">
        <v>1051.0</v>
      </c>
      <c r="C149" s="34">
        <f>IFERROR(__xludf.DUMMYFUNCTION("if(B149&lt;=999,if(B149&lt;=99,IF(B149&lt;=9,join(,""000"",B149),join(,""00"",B149)),join(,""0"",B149)),B149)"),1051.0)</f>
        <v>1051</v>
      </c>
      <c r="D149" s="35" t="s">
        <v>363</v>
      </c>
      <c r="E149" s="34" t="s">
        <v>20</v>
      </c>
      <c r="F149" s="34" t="str">
        <f t="shared" si="1"/>
        <v>#REF!</v>
      </c>
      <c r="G149" s="34" t="str">
        <f t="shared" si="2"/>
        <v>#REF!</v>
      </c>
      <c r="H149" s="36" t="s">
        <v>21</v>
      </c>
      <c r="I149" s="37" t="s">
        <v>60</v>
      </c>
      <c r="J149" s="36" t="s">
        <v>20</v>
      </c>
      <c r="K149" s="38" t="s">
        <v>95</v>
      </c>
      <c r="L149" s="36" t="s">
        <v>364</v>
      </c>
      <c r="M149" s="38">
        <v>8.0</v>
      </c>
      <c r="N149" s="62" t="s">
        <v>25</v>
      </c>
      <c r="O149" s="62" t="s">
        <v>86</v>
      </c>
      <c r="P149" s="39"/>
    </row>
    <row r="150">
      <c r="A150" s="51">
        <v>976.0</v>
      </c>
      <c r="B150" s="51">
        <v>976.0</v>
      </c>
      <c r="C150" s="34" t="str">
        <f>IFERROR(__xludf.DUMMYFUNCTION("if(B150&lt;=999,if(B150&lt;=99,IF(B150&lt;=9,join(,""000"",B150),join(,""00"",B150)),join(,""0"",B150)),B150)"),"0976")</f>
        <v>0976</v>
      </c>
      <c r="D150" s="52" t="s">
        <v>365</v>
      </c>
      <c r="E150" s="53" t="s">
        <v>20</v>
      </c>
      <c r="F150" s="34" t="str">
        <f t="shared" si="1"/>
        <v>#REF!</v>
      </c>
      <c r="G150" s="34" t="str">
        <f t="shared" si="2"/>
        <v>#REF!</v>
      </c>
      <c r="H150" s="54" t="s">
        <v>21</v>
      </c>
      <c r="I150" s="37" t="s">
        <v>60</v>
      </c>
      <c r="J150" s="54" t="s">
        <v>20</v>
      </c>
      <c r="K150" s="42" t="s">
        <v>95</v>
      </c>
      <c r="L150" s="36" t="s">
        <v>364</v>
      </c>
      <c r="M150" s="38">
        <v>8.0</v>
      </c>
      <c r="N150" s="62" t="s">
        <v>25</v>
      </c>
      <c r="O150" s="62" t="s">
        <v>86</v>
      </c>
      <c r="P150" s="43"/>
    </row>
    <row r="151">
      <c r="A151" s="51">
        <v>1324.0</v>
      </c>
      <c r="B151" s="51">
        <v>1324.0</v>
      </c>
      <c r="C151" s="34">
        <f>IFERROR(__xludf.DUMMYFUNCTION("if(B151&lt;=999,if(B151&lt;=99,IF(B151&lt;=9,join(,""000"",B151),join(,""00"",B151)),join(,""0"",B151)),B151)"),1324.0)</f>
        <v>1324</v>
      </c>
      <c r="D151" s="52" t="s">
        <v>366</v>
      </c>
      <c r="E151" s="53" t="s">
        <v>35</v>
      </c>
      <c r="F151" s="34" t="str">
        <f t="shared" si="1"/>
        <v>#REF!</v>
      </c>
      <c r="G151" s="34" t="str">
        <f t="shared" si="2"/>
        <v>#REF!</v>
      </c>
      <c r="H151" s="54" t="s">
        <v>21</v>
      </c>
      <c r="I151" s="44"/>
      <c r="J151" s="54"/>
      <c r="K151" s="42"/>
      <c r="L151" s="42"/>
      <c r="M151" s="38" t="e">
        <v>#N/A</v>
      </c>
      <c r="N151" s="42"/>
      <c r="O151" s="42"/>
      <c r="P151" s="43"/>
    </row>
    <row r="152">
      <c r="A152" s="33">
        <v>1250.0</v>
      </c>
      <c r="B152" s="34">
        <v>1250.0</v>
      </c>
      <c r="C152" s="34">
        <f>IFERROR(__xludf.DUMMYFUNCTION("if(B152&lt;=999,if(B152&lt;=99,IF(B152&lt;=9,join(,""000"",B152),join(,""00"",B152)),join(,""0"",B152)),B152)"),1250.0)</f>
        <v>1250</v>
      </c>
      <c r="D152" s="35" t="s">
        <v>367</v>
      </c>
      <c r="E152" s="34" t="s">
        <v>20</v>
      </c>
      <c r="F152" s="34" t="str">
        <f t="shared" si="1"/>
        <v>#REF!</v>
      </c>
      <c r="G152" s="34" t="str">
        <f t="shared" si="2"/>
        <v>#REF!</v>
      </c>
      <c r="H152" s="36" t="s">
        <v>21</v>
      </c>
      <c r="I152" s="37" t="s">
        <v>73</v>
      </c>
      <c r="J152" s="36" t="s">
        <v>35</v>
      </c>
      <c r="K152" s="38" t="s">
        <v>23</v>
      </c>
      <c r="L152" s="36" t="s">
        <v>368</v>
      </c>
      <c r="M152" s="38" t="s">
        <v>369</v>
      </c>
      <c r="N152" s="62" t="s">
        <v>25</v>
      </c>
      <c r="O152" s="62" t="s">
        <v>55</v>
      </c>
      <c r="P152" s="39" t="s">
        <v>370</v>
      </c>
    </row>
    <row r="153">
      <c r="A153" s="33">
        <v>1424.0</v>
      </c>
      <c r="B153" s="34">
        <v>1424.0</v>
      </c>
      <c r="C153" s="34">
        <f>IFERROR(__xludf.DUMMYFUNCTION("if(B153&lt;=999,if(B153&lt;=99,IF(B153&lt;=9,join(,""000"",B153),join(,""00"",B153)),join(,""0"",B153)),B153)"),1424.0)</f>
        <v>1424</v>
      </c>
      <c r="D153" s="35" t="s">
        <v>371</v>
      </c>
      <c r="E153" s="34" t="s">
        <v>20</v>
      </c>
      <c r="F153" s="34" t="str">
        <f t="shared" si="1"/>
        <v>#REF!</v>
      </c>
      <c r="G153" s="34" t="str">
        <f t="shared" si="2"/>
        <v>#REF!</v>
      </c>
      <c r="H153" s="36" t="s">
        <v>21</v>
      </c>
      <c r="I153" s="37" t="s">
        <v>372</v>
      </c>
      <c r="J153" s="36" t="s">
        <v>20</v>
      </c>
      <c r="K153" s="38"/>
      <c r="L153" s="38" t="s">
        <v>373</v>
      </c>
      <c r="M153" s="38">
        <v>16.0</v>
      </c>
      <c r="N153" s="38" t="s">
        <v>25</v>
      </c>
      <c r="O153" s="38" t="s">
        <v>374</v>
      </c>
      <c r="P153" s="39" t="s">
        <v>97</v>
      </c>
    </row>
    <row r="154">
      <c r="A154" s="51">
        <v>1356.0</v>
      </c>
      <c r="B154" s="51">
        <v>1356.0</v>
      </c>
      <c r="C154" s="34">
        <f>IFERROR(__xludf.DUMMYFUNCTION("if(B154&lt;=999,if(B154&lt;=99,IF(B154&lt;=9,join(,""000"",B154),join(,""00"",B154)),join(,""0"",B154)),B154)"),1356.0)</f>
        <v>1356</v>
      </c>
      <c r="D154" s="52" t="s">
        <v>375</v>
      </c>
      <c r="E154" s="53" t="s">
        <v>20</v>
      </c>
      <c r="F154" s="34" t="str">
        <f t="shared" si="1"/>
        <v>#REF!</v>
      </c>
      <c r="G154" s="34" t="str">
        <f t="shared" si="2"/>
        <v>#REF!</v>
      </c>
      <c r="H154" s="54" t="s">
        <v>21</v>
      </c>
      <c r="I154" s="37" t="s">
        <v>99</v>
      </c>
      <c r="J154" s="54" t="s">
        <v>20</v>
      </c>
      <c r="K154" s="42" t="s">
        <v>95</v>
      </c>
      <c r="L154" s="42" t="s">
        <v>376</v>
      </c>
      <c r="M154" s="38" t="s">
        <v>377</v>
      </c>
      <c r="N154" s="42" t="s">
        <v>25</v>
      </c>
      <c r="O154" s="42" t="s">
        <v>55</v>
      </c>
      <c r="P154" s="43" t="s">
        <v>97</v>
      </c>
    </row>
    <row r="155">
      <c r="A155" s="51">
        <v>1019.0</v>
      </c>
      <c r="B155" s="51">
        <v>1019.0</v>
      </c>
      <c r="C155" s="34">
        <f>IFERROR(__xludf.DUMMYFUNCTION("if(B155&lt;=999,if(B155&lt;=99,IF(B155&lt;=9,join(,""000"",B155),join(,""00"",B155)),join(,""0"",B155)),B155)"),1019.0)</f>
        <v>1019</v>
      </c>
      <c r="D155" s="52" t="s">
        <v>378</v>
      </c>
      <c r="E155" s="53" t="s">
        <v>20</v>
      </c>
      <c r="F155" s="34" t="str">
        <f t="shared" si="1"/>
        <v>#REF!</v>
      </c>
      <c r="G155" s="34" t="str">
        <f t="shared" si="2"/>
        <v>#REF!</v>
      </c>
      <c r="H155" s="54" t="s">
        <v>21</v>
      </c>
      <c r="I155" s="37" t="s">
        <v>22</v>
      </c>
      <c r="J155" s="54" t="s">
        <v>20</v>
      </c>
      <c r="K155" s="42"/>
      <c r="L155" s="42"/>
      <c r="M155" s="38" t="e">
        <v>#N/A</v>
      </c>
      <c r="N155" s="42"/>
      <c r="O155" s="42"/>
      <c r="P155" s="43" t="s">
        <v>379</v>
      </c>
    </row>
    <row r="156">
      <c r="A156" s="33">
        <v>1066.0</v>
      </c>
      <c r="B156" s="34">
        <v>1066.0</v>
      </c>
      <c r="C156" s="34">
        <f>IFERROR(__xludf.DUMMYFUNCTION("if(B156&lt;=999,if(B156&lt;=99,IF(B156&lt;=9,join(,""000"",B156),join(,""00"",B156)),join(,""0"",B156)),B156)"),1066.0)</f>
        <v>1066</v>
      </c>
      <c r="D156" s="35" t="s">
        <v>380</v>
      </c>
      <c r="E156" s="34" t="s">
        <v>20</v>
      </c>
      <c r="F156" s="34" t="str">
        <f t="shared" si="1"/>
        <v>#REF!</v>
      </c>
      <c r="G156" s="34" t="str">
        <f t="shared" si="2"/>
        <v>#REF!</v>
      </c>
      <c r="H156" s="36" t="s">
        <v>21</v>
      </c>
      <c r="I156" s="37" t="s">
        <v>77</v>
      </c>
      <c r="J156" s="36" t="s">
        <v>20</v>
      </c>
      <c r="K156" s="38" t="s">
        <v>381</v>
      </c>
      <c r="L156" s="38" t="s">
        <v>382</v>
      </c>
      <c r="M156" s="38">
        <v>80.0</v>
      </c>
      <c r="N156" s="38" t="s">
        <v>25</v>
      </c>
      <c r="O156" s="38" t="s">
        <v>383</v>
      </c>
      <c r="P156" s="39" t="s">
        <v>97</v>
      </c>
    </row>
    <row r="157">
      <c r="A157" s="45">
        <v>1355.0</v>
      </c>
      <c r="B157" s="45">
        <v>1355.0</v>
      </c>
      <c r="C157" s="45">
        <f>IFERROR(__xludf.DUMMYFUNCTION("if(B157&lt;=999,if(B157&lt;=99,IF(B157&lt;=9,join(,""000"",B157),join(,""00"",B157)),join(,""0"",B157)),B157)"),1355.0)</f>
        <v>1355</v>
      </c>
      <c r="D157" s="46" t="s">
        <v>384</v>
      </c>
      <c r="E157" s="45" t="s">
        <v>20</v>
      </c>
      <c r="F157" s="45" t="str">
        <f t="shared" si="1"/>
        <v>#REF!</v>
      </c>
      <c r="G157" s="45" t="str">
        <f t="shared" si="2"/>
        <v>#REF!</v>
      </c>
      <c r="H157" s="47" t="s">
        <v>21</v>
      </c>
      <c r="I157" s="48" t="s">
        <v>77</v>
      </c>
      <c r="J157" s="47" t="s">
        <v>20</v>
      </c>
      <c r="K157" s="49" t="s">
        <v>381</v>
      </c>
      <c r="L157" s="49" t="s">
        <v>376</v>
      </c>
      <c r="M157" s="49">
        <v>80.0</v>
      </c>
      <c r="N157" s="49" t="s">
        <v>25</v>
      </c>
      <c r="O157" s="49" t="s">
        <v>55</v>
      </c>
      <c r="P157" s="50"/>
    </row>
    <row r="158">
      <c r="A158" s="51">
        <v>1140.0</v>
      </c>
      <c r="B158" s="51">
        <v>1140.0</v>
      </c>
      <c r="C158" s="34">
        <f>IFERROR(__xludf.DUMMYFUNCTION("if(B158&lt;=999,if(B158&lt;=99,IF(B158&lt;=9,join(,""000"",B158),join(,""00"",B158)),join(,""0"",B158)),B158)"),1140.0)</f>
        <v>1140</v>
      </c>
      <c r="D158" s="52" t="s">
        <v>385</v>
      </c>
      <c r="E158" s="53" t="s">
        <v>20</v>
      </c>
      <c r="F158" s="34" t="str">
        <f t="shared" si="1"/>
        <v>#REF!</v>
      </c>
      <c r="G158" s="34" t="str">
        <f t="shared" si="2"/>
        <v>#REF!</v>
      </c>
      <c r="H158" s="54" t="s">
        <v>21</v>
      </c>
      <c r="I158" s="37" t="s">
        <v>34</v>
      </c>
      <c r="J158" s="54" t="s">
        <v>35</v>
      </c>
      <c r="K158" s="42" t="s">
        <v>386</v>
      </c>
      <c r="L158" s="36" t="s">
        <v>387</v>
      </c>
      <c r="M158" s="38" t="s">
        <v>388</v>
      </c>
      <c r="N158" s="62" t="s">
        <v>389</v>
      </c>
      <c r="O158" s="73" t="s">
        <v>390</v>
      </c>
      <c r="P158" s="43" t="s">
        <v>391</v>
      </c>
    </row>
    <row r="159">
      <c r="A159" s="51">
        <v>1127.0</v>
      </c>
      <c r="B159" s="51">
        <v>1127.0</v>
      </c>
      <c r="C159" s="34">
        <f>IFERROR(__xludf.DUMMYFUNCTION("if(B159&lt;=999,if(B159&lt;=99,IF(B159&lt;=9,join(,""000"",B159),join(,""00"",B159)),join(,""0"",B159)),B159)"),1127.0)</f>
        <v>1127</v>
      </c>
      <c r="D159" s="52" t="s">
        <v>392</v>
      </c>
      <c r="E159" s="53" t="s">
        <v>20</v>
      </c>
      <c r="F159" s="34" t="str">
        <f t="shared" si="1"/>
        <v>#REF!</v>
      </c>
      <c r="G159" s="34" t="str">
        <f t="shared" si="2"/>
        <v>#REF!</v>
      </c>
      <c r="H159" s="54" t="s">
        <v>21</v>
      </c>
      <c r="I159" s="37" t="s">
        <v>34</v>
      </c>
      <c r="J159" s="54" t="s">
        <v>35</v>
      </c>
      <c r="K159" s="42" t="s">
        <v>386</v>
      </c>
      <c r="L159" s="36" t="s">
        <v>387</v>
      </c>
      <c r="M159" s="38" t="s">
        <v>393</v>
      </c>
      <c r="N159" s="62" t="s">
        <v>25</v>
      </c>
      <c r="O159" s="62" t="s">
        <v>394</v>
      </c>
      <c r="P159" s="43" t="s">
        <v>391</v>
      </c>
    </row>
    <row r="160">
      <c r="A160" s="51">
        <v>1136.0</v>
      </c>
      <c r="B160" s="51">
        <v>1136.0</v>
      </c>
      <c r="C160" s="34">
        <f>IFERROR(__xludf.DUMMYFUNCTION("if(B160&lt;=999,if(B160&lt;=99,IF(B160&lt;=9,join(,""000"",B160),join(,""00"",B160)),join(,""0"",B160)),B160)"),1136.0)</f>
        <v>1136</v>
      </c>
      <c r="D160" s="52" t="s">
        <v>395</v>
      </c>
      <c r="E160" s="53" t="s">
        <v>20</v>
      </c>
      <c r="F160" s="34" t="str">
        <f t="shared" si="1"/>
        <v>#REF!</v>
      </c>
      <c r="G160" s="34" t="str">
        <f t="shared" si="2"/>
        <v>#REF!</v>
      </c>
      <c r="H160" s="54" t="s">
        <v>21</v>
      </c>
      <c r="I160" s="37" t="s">
        <v>22</v>
      </c>
      <c r="J160" s="54" t="s">
        <v>20</v>
      </c>
      <c r="K160" s="42"/>
      <c r="L160" s="42" t="s">
        <v>396</v>
      </c>
      <c r="M160" s="38" t="s">
        <v>397</v>
      </c>
      <c r="N160" s="42" t="s">
        <v>25</v>
      </c>
      <c r="O160" s="42" t="s">
        <v>398</v>
      </c>
      <c r="P160" s="43" t="s">
        <v>82</v>
      </c>
    </row>
    <row r="161">
      <c r="A161" s="51">
        <v>1317.0</v>
      </c>
      <c r="B161" s="51">
        <v>1317.0</v>
      </c>
      <c r="C161" s="34">
        <f>IFERROR(__xludf.DUMMYFUNCTION("if(B161&lt;=999,if(B161&lt;=99,IF(B161&lt;=9,join(,""000"",B161),join(,""00"",B161)),join(,""0"",B161)),B161)"),1317.0)</f>
        <v>1317</v>
      </c>
      <c r="D161" s="52" t="s">
        <v>399</v>
      </c>
      <c r="E161" s="53" t="s">
        <v>20</v>
      </c>
      <c r="F161" s="34" t="str">
        <f t="shared" si="1"/>
        <v>#REF!</v>
      </c>
      <c r="G161" s="34" t="str">
        <f t="shared" si="2"/>
        <v>#REF!</v>
      </c>
      <c r="H161" s="54" t="s">
        <v>21</v>
      </c>
      <c r="I161" s="37" t="s">
        <v>34</v>
      </c>
      <c r="J161" s="54" t="s">
        <v>20</v>
      </c>
      <c r="K161" s="42"/>
      <c r="L161" s="42" t="s">
        <v>400</v>
      </c>
      <c r="M161" s="38">
        <v>80.0</v>
      </c>
      <c r="N161" s="42" t="s">
        <v>25</v>
      </c>
      <c r="O161" s="42" t="s">
        <v>55</v>
      </c>
      <c r="P161" s="43" t="s">
        <v>97</v>
      </c>
    </row>
    <row r="162">
      <c r="A162" s="51">
        <v>1425.0</v>
      </c>
      <c r="B162" s="51">
        <v>1425.0</v>
      </c>
      <c r="C162" s="34">
        <f>IFERROR(__xludf.DUMMYFUNCTION("if(B162&lt;=999,if(B162&lt;=99,IF(B162&lt;=9,join(,""000"",B162),join(,""00"",B162)),join(,""0"",B162)),B162)"),1425.0)</f>
        <v>1425</v>
      </c>
      <c r="D162" s="52" t="s">
        <v>401</v>
      </c>
      <c r="E162" s="53" t="s">
        <v>20</v>
      </c>
      <c r="F162" s="34" t="str">
        <f t="shared" si="1"/>
        <v>#REF!</v>
      </c>
      <c r="G162" s="34" t="str">
        <f t="shared" si="2"/>
        <v>#REF!</v>
      </c>
      <c r="H162" s="54" t="s">
        <v>21</v>
      </c>
      <c r="I162" s="37" t="s">
        <v>99</v>
      </c>
      <c r="J162" s="54" t="s">
        <v>20</v>
      </c>
      <c r="K162" s="42" t="s">
        <v>381</v>
      </c>
      <c r="L162" s="36" t="s">
        <v>402</v>
      </c>
      <c r="M162" s="38">
        <v>80.0</v>
      </c>
      <c r="N162" s="42" t="s">
        <v>25</v>
      </c>
      <c r="O162" s="42" t="s">
        <v>55</v>
      </c>
      <c r="P162" s="43"/>
    </row>
    <row r="163">
      <c r="A163" s="51">
        <v>1097.0</v>
      </c>
      <c r="B163" s="51">
        <v>1097.0</v>
      </c>
      <c r="C163" s="34">
        <f>IFERROR(__xludf.DUMMYFUNCTION("if(B163&lt;=999,if(B163&lt;=99,IF(B163&lt;=9,join(,""000"",B163),join(,""00"",B163)),join(,""0"",B163)),B163)"),1097.0)</f>
        <v>1097</v>
      </c>
      <c r="D163" s="52" t="s">
        <v>403</v>
      </c>
      <c r="E163" s="53" t="s">
        <v>20</v>
      </c>
      <c r="F163" s="34" t="str">
        <f t="shared" si="1"/>
        <v>#REF!</v>
      </c>
      <c r="G163" s="34" t="str">
        <f t="shared" si="2"/>
        <v>#REF!</v>
      </c>
      <c r="H163" s="54" t="s">
        <v>21</v>
      </c>
      <c r="I163" s="37" t="s">
        <v>99</v>
      </c>
      <c r="J163" s="54" t="s">
        <v>20</v>
      </c>
      <c r="K163" s="42" t="s">
        <v>381</v>
      </c>
      <c r="L163" s="74" t="s">
        <v>404</v>
      </c>
      <c r="M163" s="38">
        <v>16.0</v>
      </c>
      <c r="N163" s="62" t="s">
        <v>25</v>
      </c>
      <c r="O163" s="62" t="s">
        <v>405</v>
      </c>
      <c r="P163" s="43" t="s">
        <v>406</v>
      </c>
    </row>
    <row r="164">
      <c r="A164" s="51">
        <v>1245.0</v>
      </c>
      <c r="B164" s="51">
        <v>1245.0</v>
      </c>
      <c r="C164" s="34">
        <f>IFERROR(__xludf.DUMMYFUNCTION("if(B164&lt;=999,if(B164&lt;=99,IF(B164&lt;=9,join(,""000"",B164),join(,""00"",B164)),join(,""0"",B164)),B164)"),1245.0)</f>
        <v>1245</v>
      </c>
      <c r="D164" s="52" t="s">
        <v>407</v>
      </c>
      <c r="E164" s="53" t="s">
        <v>35</v>
      </c>
      <c r="F164" s="34" t="str">
        <f t="shared" si="1"/>
        <v>#REF!</v>
      </c>
      <c r="G164" s="34" t="str">
        <f t="shared" si="2"/>
        <v>#REF!</v>
      </c>
      <c r="H164" s="54" t="s">
        <v>21</v>
      </c>
      <c r="I164" s="44"/>
      <c r="J164" s="54"/>
      <c r="K164" s="42"/>
      <c r="L164" s="42"/>
      <c r="M164" s="38" t="e">
        <v>#N/A</v>
      </c>
      <c r="N164" s="42"/>
      <c r="O164" s="42"/>
      <c r="P164" s="43"/>
    </row>
    <row r="165">
      <c r="A165" s="51">
        <v>1099.0</v>
      </c>
      <c r="B165" s="51">
        <v>1099.0</v>
      </c>
      <c r="C165" s="34">
        <f>IFERROR(__xludf.DUMMYFUNCTION("if(B165&lt;=999,if(B165&lt;=99,IF(B165&lt;=9,join(,""000"",B165),join(,""00"",B165)),join(,""0"",B165)),B165)"),1099.0)</f>
        <v>1099</v>
      </c>
      <c r="D165" s="52" t="s">
        <v>408</v>
      </c>
      <c r="E165" s="53" t="s">
        <v>20</v>
      </c>
      <c r="F165" s="34" t="str">
        <f t="shared" si="1"/>
        <v>#REF!</v>
      </c>
      <c r="G165" s="34" t="str">
        <f t="shared" si="2"/>
        <v>#REF!</v>
      </c>
      <c r="H165" s="54" t="s">
        <v>21</v>
      </c>
      <c r="I165" s="37" t="s">
        <v>73</v>
      </c>
      <c r="J165" s="54" t="s">
        <v>35</v>
      </c>
      <c r="K165" s="40" t="s">
        <v>95</v>
      </c>
      <c r="L165" s="75" t="s">
        <v>409</v>
      </c>
      <c r="M165" s="38" t="s">
        <v>410</v>
      </c>
      <c r="N165" s="40" t="s">
        <v>25</v>
      </c>
      <c r="O165" s="40" t="s">
        <v>55</v>
      </c>
      <c r="P165" s="40" t="s">
        <v>66</v>
      </c>
    </row>
    <row r="166">
      <c r="A166" s="33">
        <v>1256.0</v>
      </c>
      <c r="B166" s="34">
        <v>1256.0</v>
      </c>
      <c r="C166" s="34">
        <f>IFERROR(__xludf.DUMMYFUNCTION("if(B166&lt;=999,if(B166&lt;=99,IF(B166&lt;=9,join(,""000"",B166),join(,""00"",B166)),join(,""0"",B166)),B166)"),1256.0)</f>
        <v>1256</v>
      </c>
      <c r="D166" s="35" t="s">
        <v>411</v>
      </c>
      <c r="E166" s="34" t="s">
        <v>20</v>
      </c>
      <c r="F166" s="34" t="str">
        <f t="shared" si="1"/>
        <v>#REF!</v>
      </c>
      <c r="G166" s="34" t="str">
        <f t="shared" si="2"/>
        <v>#REF!</v>
      </c>
      <c r="H166" s="36" t="s">
        <v>21</v>
      </c>
      <c r="I166" s="37" t="s">
        <v>73</v>
      </c>
      <c r="J166" s="36" t="s">
        <v>35</v>
      </c>
      <c r="K166" s="40" t="s">
        <v>95</v>
      </c>
      <c r="L166" s="75" t="s">
        <v>409</v>
      </c>
      <c r="M166" s="38" t="s">
        <v>410</v>
      </c>
      <c r="N166" s="40" t="s">
        <v>25</v>
      </c>
      <c r="O166" s="40" t="s">
        <v>55</v>
      </c>
      <c r="P166" s="40" t="s">
        <v>66</v>
      </c>
    </row>
    <row r="167">
      <c r="A167" s="51">
        <v>77.0</v>
      </c>
      <c r="B167" s="51">
        <v>77.0</v>
      </c>
      <c r="C167" s="34" t="str">
        <f>IFERROR(__xludf.DUMMYFUNCTION("if(B167&lt;=999,if(B167&lt;=99,IF(B167&lt;=9,join(,""000"",B167),join(,""00"",B167)),join(,""0"",B167)),B167)"),"0077")</f>
        <v>0077</v>
      </c>
      <c r="D167" s="52" t="s">
        <v>412</v>
      </c>
      <c r="E167" s="53" t="s">
        <v>35</v>
      </c>
      <c r="F167" s="34" t="str">
        <f t="shared" si="1"/>
        <v>#REF!</v>
      </c>
      <c r="G167" s="34" t="str">
        <f t="shared" si="2"/>
        <v>#REF!</v>
      </c>
      <c r="H167" s="54" t="s">
        <v>21</v>
      </c>
      <c r="I167" s="44"/>
      <c r="J167" s="54"/>
      <c r="K167" s="42"/>
      <c r="L167" s="42"/>
      <c r="M167" s="38">
        <v>8.0</v>
      </c>
      <c r="N167" s="42"/>
      <c r="O167" s="42"/>
      <c r="P167" s="43"/>
    </row>
    <row r="168">
      <c r="A168" s="51">
        <v>742.0</v>
      </c>
      <c r="B168" s="51">
        <v>742.0</v>
      </c>
      <c r="C168" s="34" t="str">
        <f>IFERROR(__xludf.DUMMYFUNCTION("if(B168&lt;=999,if(B168&lt;=99,IF(B168&lt;=9,join(,""000"",B168),join(,""00"",B168)),join(,""0"",B168)),B168)"),"0742")</f>
        <v>0742</v>
      </c>
      <c r="D168" s="52" t="s">
        <v>413</v>
      </c>
      <c r="E168" s="53" t="s">
        <v>20</v>
      </c>
      <c r="F168" s="34" t="str">
        <f t="shared" si="1"/>
        <v>#REF!</v>
      </c>
      <c r="G168" s="34" t="str">
        <f t="shared" si="2"/>
        <v>#REF!</v>
      </c>
      <c r="H168" s="54" t="s">
        <v>21</v>
      </c>
      <c r="I168" s="37" t="s">
        <v>77</v>
      </c>
      <c r="J168" s="54" t="s">
        <v>35</v>
      </c>
      <c r="K168" s="42"/>
      <c r="L168" s="42"/>
      <c r="M168" s="38" t="s">
        <v>414</v>
      </c>
      <c r="N168" s="42"/>
      <c r="O168" s="42"/>
      <c r="P168" s="43" t="s">
        <v>415</v>
      </c>
    </row>
    <row r="169">
      <c r="A169" s="33">
        <v>1096.0</v>
      </c>
      <c r="B169" s="34">
        <v>1096.0</v>
      </c>
      <c r="C169" s="34">
        <f>IFERROR(__xludf.DUMMYFUNCTION("if(B169&lt;=999,if(B169&lt;=99,IF(B169&lt;=9,join(,""000"",B169),join(,""00"",B169)),join(,""0"",B169)),B169)"),1096.0)</f>
        <v>1096</v>
      </c>
      <c r="D169" s="35" t="s">
        <v>416</v>
      </c>
      <c r="E169" s="34" t="s">
        <v>20</v>
      </c>
      <c r="F169" s="34" t="str">
        <f t="shared" si="1"/>
        <v>#REF!</v>
      </c>
      <c r="G169" s="34" t="str">
        <f t="shared" si="2"/>
        <v>#REF!</v>
      </c>
      <c r="H169" s="36" t="s">
        <v>21</v>
      </c>
      <c r="I169" s="37" t="s">
        <v>99</v>
      </c>
      <c r="J169" s="36" t="s">
        <v>35</v>
      </c>
      <c r="K169" s="76"/>
      <c r="L169" s="42"/>
      <c r="M169" s="38" t="e">
        <v>#N/A</v>
      </c>
      <c r="N169" s="76"/>
      <c r="O169" s="76"/>
      <c r="P169" s="76" t="s">
        <v>417</v>
      </c>
    </row>
    <row r="170">
      <c r="A170" s="51">
        <v>243.0</v>
      </c>
      <c r="B170" s="51">
        <v>243.0</v>
      </c>
      <c r="C170" s="34" t="str">
        <f>IFERROR(__xludf.DUMMYFUNCTION("if(B170&lt;=999,if(B170&lt;=99,IF(B170&lt;=9,join(,""000"",B170),join(,""00"",B170)),join(,""0"",B170)),B170)"),"0243")</f>
        <v>0243</v>
      </c>
      <c r="D170" s="52" t="s">
        <v>418</v>
      </c>
      <c r="E170" s="53" t="s">
        <v>20</v>
      </c>
      <c r="F170" s="34" t="str">
        <f t="shared" si="1"/>
        <v>#REF!</v>
      </c>
      <c r="G170" s="34" t="str">
        <f t="shared" si="2"/>
        <v>#REF!</v>
      </c>
      <c r="H170" s="54" t="s">
        <v>21</v>
      </c>
      <c r="I170" s="37" t="s">
        <v>77</v>
      </c>
      <c r="J170" s="54" t="s">
        <v>20</v>
      </c>
      <c r="K170" s="77" t="s">
        <v>355</v>
      </c>
      <c r="L170" s="77" t="s">
        <v>419</v>
      </c>
      <c r="M170" s="38">
        <v>18.0</v>
      </c>
      <c r="N170" s="77" t="s">
        <v>25</v>
      </c>
      <c r="O170" s="77" t="s">
        <v>420</v>
      </c>
      <c r="P170" s="77" t="s">
        <v>82</v>
      </c>
    </row>
    <row r="171">
      <c r="A171" s="33">
        <v>351.0</v>
      </c>
      <c r="B171" s="34">
        <v>351.0</v>
      </c>
      <c r="C171" s="34" t="str">
        <f>IFERROR(__xludf.DUMMYFUNCTION("if(B171&lt;=999,if(B171&lt;=99,IF(B171&lt;=9,join(,""000"",B171),join(,""00"",B171)),join(,""0"",B171)),B171)"),"0351")</f>
        <v>0351</v>
      </c>
      <c r="D171" s="35" t="s">
        <v>421</v>
      </c>
      <c r="E171" s="34" t="s">
        <v>20</v>
      </c>
      <c r="F171" s="34" t="str">
        <f t="shared" si="1"/>
        <v>#REF!</v>
      </c>
      <c r="G171" s="34" t="str">
        <f t="shared" si="2"/>
        <v>#REF!</v>
      </c>
      <c r="H171" s="36" t="s">
        <v>21</v>
      </c>
      <c r="I171" s="37" t="s">
        <v>77</v>
      </c>
      <c r="J171" s="36" t="s">
        <v>35</v>
      </c>
      <c r="K171" s="38"/>
      <c r="L171" s="42"/>
      <c r="M171" s="38" t="s">
        <v>422</v>
      </c>
      <c r="N171" s="38"/>
      <c r="O171" s="38"/>
      <c r="P171" s="39" t="s">
        <v>415</v>
      </c>
    </row>
    <row r="172">
      <c r="A172" s="33">
        <v>44.0</v>
      </c>
      <c r="B172" s="34">
        <v>44.0</v>
      </c>
      <c r="C172" s="34" t="str">
        <f>IFERROR(__xludf.DUMMYFUNCTION("if(B172&lt;=999,if(B172&lt;=99,IF(B172&lt;=9,join(,""000"",B172),join(,""00"",B172)),join(,""0"",B172)),B172)"),"0044")</f>
        <v>0044</v>
      </c>
      <c r="D172" s="35" t="s">
        <v>423</v>
      </c>
      <c r="E172" s="34" t="s">
        <v>20</v>
      </c>
      <c r="F172" s="34" t="str">
        <f t="shared" si="1"/>
        <v>#REF!</v>
      </c>
      <c r="G172" s="34" t="str">
        <f t="shared" si="2"/>
        <v>#REF!</v>
      </c>
      <c r="H172" s="36" t="s">
        <v>21</v>
      </c>
      <c r="I172" s="37" t="s">
        <v>99</v>
      </c>
      <c r="J172" s="36" t="s">
        <v>20</v>
      </c>
      <c r="K172" s="38" t="s">
        <v>95</v>
      </c>
      <c r="L172" s="38" t="s">
        <v>424</v>
      </c>
      <c r="M172" s="38" t="s">
        <v>425</v>
      </c>
      <c r="N172" s="38" t="s">
        <v>25</v>
      </c>
      <c r="O172" s="38" t="s">
        <v>426</v>
      </c>
      <c r="P172" s="43" t="s">
        <v>82</v>
      </c>
    </row>
    <row r="173">
      <c r="A173" s="51">
        <v>803.0</v>
      </c>
      <c r="B173" s="51">
        <v>803.0</v>
      </c>
      <c r="C173" s="34" t="str">
        <f>IFERROR(__xludf.DUMMYFUNCTION("if(B173&lt;=999,if(B173&lt;=99,IF(B173&lt;=9,join(,""000"",B173),join(,""00"",B173)),join(,""0"",B173)),B173)"),"0803")</f>
        <v>0803</v>
      </c>
      <c r="D173" s="52" t="s">
        <v>427</v>
      </c>
      <c r="E173" s="53" t="s">
        <v>20</v>
      </c>
      <c r="F173" s="34" t="str">
        <f t="shared" si="1"/>
        <v>#REF!</v>
      </c>
      <c r="G173" s="34" t="str">
        <f t="shared" si="2"/>
        <v>#REF!</v>
      </c>
      <c r="H173" s="54" t="s">
        <v>21</v>
      </c>
      <c r="I173" s="37" t="s">
        <v>22</v>
      </c>
      <c r="J173" s="54" t="s">
        <v>20</v>
      </c>
      <c r="K173" s="42" t="s">
        <v>355</v>
      </c>
      <c r="L173" s="42" t="s">
        <v>428</v>
      </c>
      <c r="M173" s="38">
        <v>25001.0</v>
      </c>
      <c r="N173" s="42" t="s">
        <v>25</v>
      </c>
      <c r="O173" s="42" t="s">
        <v>86</v>
      </c>
      <c r="P173" s="43" t="s">
        <v>56</v>
      </c>
    </row>
    <row r="174">
      <c r="A174" s="55">
        <v>1046.0</v>
      </c>
      <c r="B174" s="55">
        <v>1046.0</v>
      </c>
      <c r="C174" s="45">
        <f>IFERROR(__xludf.DUMMYFUNCTION("if(B174&lt;=999,if(B174&lt;=99,IF(B174&lt;=9,join(,""000"",B174),join(,""00"",B174)),join(,""0"",B174)),B174)"),1046.0)</f>
        <v>1046</v>
      </c>
      <c r="D174" s="56" t="s">
        <v>429</v>
      </c>
      <c r="E174" s="55" t="s">
        <v>20</v>
      </c>
      <c r="F174" s="45" t="str">
        <f t="shared" si="1"/>
        <v>#REF!</v>
      </c>
      <c r="G174" s="45" t="str">
        <f t="shared" si="2"/>
        <v>#REF!</v>
      </c>
      <c r="H174" s="57" t="s">
        <v>21</v>
      </c>
      <c r="I174" s="48" t="s">
        <v>60</v>
      </c>
      <c r="J174" s="57" t="s">
        <v>35</v>
      </c>
      <c r="K174" s="60"/>
      <c r="L174" s="60" t="s">
        <v>430</v>
      </c>
      <c r="M174" s="49"/>
      <c r="N174" s="60"/>
      <c r="O174" s="60"/>
      <c r="P174" s="61"/>
    </row>
    <row r="175">
      <c r="A175" s="45">
        <v>453.0</v>
      </c>
      <c r="B175" s="45">
        <v>453.0</v>
      </c>
      <c r="C175" s="45" t="str">
        <f>IFERROR(__xludf.DUMMYFUNCTION("if(B175&lt;=999,if(B175&lt;=99,IF(B175&lt;=9,join(,""000"",B175),join(,""00"",B175)),join(,""0"",B175)),B175)"),"0453")</f>
        <v>0453</v>
      </c>
      <c r="D175" s="46" t="s">
        <v>431</v>
      </c>
      <c r="E175" s="45" t="s">
        <v>20</v>
      </c>
      <c r="F175" s="45" t="str">
        <f t="shared" si="1"/>
        <v>#REF!</v>
      </c>
      <c r="G175" s="45" t="str">
        <f t="shared" si="2"/>
        <v>#REF!</v>
      </c>
      <c r="H175" s="47" t="s">
        <v>21</v>
      </c>
      <c r="I175" s="48" t="s">
        <v>63</v>
      </c>
      <c r="J175" s="47" t="s">
        <v>20</v>
      </c>
      <c r="K175" s="49" t="s">
        <v>23</v>
      </c>
      <c r="L175" s="49" t="s">
        <v>432</v>
      </c>
      <c r="M175" s="49">
        <v>80.0</v>
      </c>
      <c r="N175" s="49" t="s">
        <v>25</v>
      </c>
      <c r="O175" s="49" t="s">
        <v>55</v>
      </c>
      <c r="P175" s="50"/>
    </row>
    <row r="176">
      <c r="A176" s="51">
        <v>1060.0</v>
      </c>
      <c r="B176" s="51">
        <v>1060.0</v>
      </c>
      <c r="C176" s="34">
        <f>IFERROR(__xludf.DUMMYFUNCTION("if(B176&lt;=999,if(B176&lt;=99,IF(B176&lt;=9,join(,""000"",B176),join(,""00"",B176)),join(,""0"",B176)),B176)"),1060.0)</f>
        <v>1060</v>
      </c>
      <c r="D176" s="52" t="s">
        <v>433</v>
      </c>
      <c r="E176" s="53" t="s">
        <v>20</v>
      </c>
      <c r="F176" s="34" t="str">
        <f t="shared" si="1"/>
        <v>#REF!</v>
      </c>
      <c r="G176" s="34" t="str">
        <f t="shared" si="2"/>
        <v>#REF!</v>
      </c>
      <c r="H176" s="54" t="s">
        <v>21</v>
      </c>
      <c r="I176" s="37" t="s">
        <v>99</v>
      </c>
      <c r="J176" s="54" t="s">
        <v>20</v>
      </c>
      <c r="K176" s="63" t="s">
        <v>23</v>
      </c>
      <c r="L176" s="36" t="s">
        <v>434</v>
      </c>
      <c r="M176" s="38">
        <v>9030.0</v>
      </c>
      <c r="N176" s="62" t="s">
        <v>104</v>
      </c>
      <c r="O176" s="62" t="s">
        <v>435</v>
      </c>
      <c r="P176" s="63"/>
    </row>
    <row r="177">
      <c r="A177" s="51">
        <v>1092.0</v>
      </c>
      <c r="B177" s="51">
        <v>1092.0</v>
      </c>
      <c r="C177" s="34">
        <f>IFERROR(__xludf.DUMMYFUNCTION("if(B177&lt;=999,if(B177&lt;=99,IF(B177&lt;=9,join(,""000"",B177),join(,""00"",B177)),join(,""0"",B177)),B177)"),1092.0)</f>
        <v>1092</v>
      </c>
      <c r="D177" s="52" t="s">
        <v>436</v>
      </c>
      <c r="E177" s="53" t="s">
        <v>20</v>
      </c>
      <c r="F177" s="34" t="str">
        <f t="shared" si="1"/>
        <v>#REF!</v>
      </c>
      <c r="G177" s="34" t="str">
        <f t="shared" si="2"/>
        <v>#REF!</v>
      </c>
      <c r="H177" s="54" t="s">
        <v>21</v>
      </c>
      <c r="I177" s="37" t="s">
        <v>63</v>
      </c>
      <c r="J177" s="54" t="s">
        <v>20</v>
      </c>
      <c r="K177" s="42" t="s">
        <v>23</v>
      </c>
      <c r="L177" s="36" t="s">
        <v>434</v>
      </c>
      <c r="M177" s="38">
        <v>9030.0</v>
      </c>
      <c r="N177" s="42" t="s">
        <v>104</v>
      </c>
      <c r="O177" s="62" t="s">
        <v>435</v>
      </c>
      <c r="P177" s="43"/>
    </row>
    <row r="178">
      <c r="A178" s="51">
        <v>215.0</v>
      </c>
      <c r="B178" s="51">
        <v>215.0</v>
      </c>
      <c r="C178" s="34" t="str">
        <f>IFERROR(__xludf.DUMMYFUNCTION("if(B178&lt;=999,if(B178&lt;=99,IF(B178&lt;=9,join(,""000"",B178),join(,""00"",B178)),join(,""0"",B178)),B178)"),"0215")</f>
        <v>0215</v>
      </c>
      <c r="D178" s="52" t="s">
        <v>437</v>
      </c>
      <c r="E178" s="53" t="s">
        <v>20</v>
      </c>
      <c r="F178" s="34" t="str">
        <f t="shared" si="1"/>
        <v>#REF!</v>
      </c>
      <c r="G178" s="34" t="str">
        <f t="shared" si="2"/>
        <v>#REF!</v>
      </c>
      <c r="H178" s="54" t="s">
        <v>21</v>
      </c>
      <c r="I178" s="37" t="s">
        <v>77</v>
      </c>
      <c r="J178" s="54" t="s">
        <v>20</v>
      </c>
      <c r="K178" s="42" t="s">
        <v>137</v>
      </c>
      <c r="L178" s="42" t="s">
        <v>438</v>
      </c>
      <c r="M178" s="38" t="s">
        <v>439</v>
      </c>
      <c r="N178" s="42"/>
      <c r="O178" s="42"/>
      <c r="P178" s="43" t="s">
        <v>440</v>
      </c>
    </row>
    <row r="179">
      <c r="A179" s="33">
        <v>691.0</v>
      </c>
      <c r="B179" s="34">
        <v>691.0</v>
      </c>
      <c r="C179" s="34" t="str">
        <f>IFERROR(__xludf.DUMMYFUNCTION("if(B179&lt;=999,if(B179&lt;=99,IF(B179&lt;=9,join(,""000"",B179),join(,""00"",B179)),join(,""0"",B179)),B179)"),"0691")</f>
        <v>0691</v>
      </c>
      <c r="D179" s="35" t="s">
        <v>441</v>
      </c>
      <c r="E179" s="34" t="s">
        <v>20</v>
      </c>
      <c r="F179" s="34" t="str">
        <f t="shared" si="1"/>
        <v>#REF!</v>
      </c>
      <c r="G179" s="34" t="str">
        <f t="shared" si="2"/>
        <v>#REF!</v>
      </c>
      <c r="H179" s="36" t="s">
        <v>21</v>
      </c>
      <c r="I179" s="37" t="s">
        <v>77</v>
      </c>
      <c r="J179" s="36" t="s">
        <v>20</v>
      </c>
      <c r="K179" s="38" t="s">
        <v>23</v>
      </c>
      <c r="L179" s="36" t="s">
        <v>442</v>
      </c>
      <c r="M179" s="38" t="s">
        <v>443</v>
      </c>
      <c r="N179" s="62" t="s">
        <v>444</v>
      </c>
      <c r="O179" s="62" t="s">
        <v>445</v>
      </c>
      <c r="P179" s="39"/>
    </row>
    <row r="180">
      <c r="A180" s="51">
        <v>1251.0</v>
      </c>
      <c r="B180" s="51">
        <v>1251.0</v>
      </c>
      <c r="C180" s="34">
        <f>IFERROR(__xludf.DUMMYFUNCTION("if(B180&lt;=999,if(B180&lt;=99,IF(B180&lt;=9,join(,""000"",B180),join(,""00"",B180)),join(,""0"",B180)),B180)"),1251.0)</f>
        <v>1251</v>
      </c>
      <c r="D180" s="52" t="s">
        <v>446</v>
      </c>
      <c r="E180" s="53" t="s">
        <v>20</v>
      </c>
      <c r="F180" s="34" t="str">
        <f t="shared" si="1"/>
        <v>#REF!</v>
      </c>
      <c r="G180" s="34" t="str">
        <f t="shared" si="2"/>
        <v>#REF!</v>
      </c>
      <c r="H180" s="54" t="s">
        <v>21</v>
      </c>
      <c r="I180" s="37" t="s">
        <v>22</v>
      </c>
      <c r="J180" s="54" t="s">
        <v>20</v>
      </c>
      <c r="K180" s="42" t="s">
        <v>355</v>
      </c>
      <c r="L180" s="42" t="s">
        <v>447</v>
      </c>
      <c r="M180" s="38">
        <v>80.0</v>
      </c>
      <c r="N180" s="42" t="s">
        <v>25</v>
      </c>
      <c r="O180" s="42" t="s">
        <v>448</v>
      </c>
      <c r="P180" s="43"/>
    </row>
    <row r="181">
      <c r="A181" s="51">
        <v>217.0</v>
      </c>
      <c r="B181" s="51">
        <v>217.0</v>
      </c>
      <c r="C181" s="34" t="str">
        <f>IFERROR(__xludf.DUMMYFUNCTION("if(B181&lt;=999,if(B181&lt;=99,IF(B181&lt;=9,join(,""000"",B181),join(,""00"",B181)),join(,""0"",B181)),B181)"),"0217")</f>
        <v>0217</v>
      </c>
      <c r="D181" s="52" t="s">
        <v>449</v>
      </c>
      <c r="E181" s="53" t="s">
        <v>20</v>
      </c>
      <c r="F181" s="34" t="str">
        <f t="shared" si="1"/>
        <v>#REF!</v>
      </c>
      <c r="G181" s="34" t="str">
        <f t="shared" si="2"/>
        <v>#REF!</v>
      </c>
      <c r="H181" s="54" t="s">
        <v>21</v>
      </c>
      <c r="I181" s="37" t="s">
        <v>22</v>
      </c>
      <c r="J181" s="54" t="s">
        <v>35</v>
      </c>
      <c r="K181" s="42"/>
      <c r="L181" s="42"/>
      <c r="M181" s="38" t="s">
        <v>450</v>
      </c>
      <c r="N181" s="42"/>
      <c r="O181" s="42"/>
      <c r="P181" s="43" t="s">
        <v>451</v>
      </c>
    </row>
    <row r="182">
      <c r="A182" s="51">
        <v>910.0</v>
      </c>
      <c r="B182" s="51">
        <v>910.0</v>
      </c>
      <c r="C182" s="34" t="str">
        <f>IFERROR(__xludf.DUMMYFUNCTION("if(B182&lt;=999,if(B182&lt;=99,IF(B182&lt;=9,join(,""000"",B182),join(,""00"",B182)),join(,""0"",B182)),B182)"),"0910")</f>
        <v>0910</v>
      </c>
      <c r="D182" s="52" t="s">
        <v>452</v>
      </c>
      <c r="E182" s="53" t="s">
        <v>20</v>
      </c>
      <c r="F182" s="34" t="str">
        <f t="shared" si="1"/>
        <v>#REF!</v>
      </c>
      <c r="G182" s="34" t="str">
        <f t="shared" si="2"/>
        <v>#REF!</v>
      </c>
      <c r="H182" s="54" t="s">
        <v>21</v>
      </c>
      <c r="I182" s="37" t="s">
        <v>77</v>
      </c>
      <c r="J182" s="54" t="s">
        <v>35</v>
      </c>
      <c r="K182" s="42"/>
      <c r="L182" s="42"/>
      <c r="M182" s="38" t="s">
        <v>453</v>
      </c>
      <c r="N182" s="42"/>
      <c r="O182" s="42"/>
      <c r="P182" s="43" t="s">
        <v>454</v>
      </c>
    </row>
    <row r="183">
      <c r="A183" s="33">
        <v>346.0</v>
      </c>
      <c r="B183" s="34">
        <v>346.0</v>
      </c>
      <c r="C183" s="34" t="str">
        <f>IFERROR(__xludf.DUMMYFUNCTION("if(B183&lt;=999,if(B183&lt;=99,IF(B183&lt;=9,join(,""000"",B183),join(,""00"",B183)),join(,""0"",B183)),B183)"),"0346")</f>
        <v>0346</v>
      </c>
      <c r="D183" s="35" t="s">
        <v>455</v>
      </c>
      <c r="E183" s="34" t="s">
        <v>20</v>
      </c>
      <c r="F183" s="34" t="str">
        <f t="shared" si="1"/>
        <v>#REF!</v>
      </c>
      <c r="G183" s="34" t="str">
        <f t="shared" si="2"/>
        <v>#REF!</v>
      </c>
      <c r="H183" s="36" t="s">
        <v>21</v>
      </c>
      <c r="I183" s="37" t="s">
        <v>22</v>
      </c>
      <c r="J183" s="36" t="s">
        <v>35</v>
      </c>
      <c r="K183" s="42"/>
      <c r="L183" s="42"/>
      <c r="M183" s="38">
        <v>8000.0</v>
      </c>
      <c r="N183" s="42"/>
      <c r="O183" s="42"/>
      <c r="P183" s="43" t="s">
        <v>454</v>
      </c>
    </row>
    <row r="184">
      <c r="A184" s="51">
        <v>537.0</v>
      </c>
      <c r="B184" s="51">
        <v>537.0</v>
      </c>
      <c r="C184" s="34" t="str">
        <f>IFERROR(__xludf.DUMMYFUNCTION("if(B184&lt;=999,if(B184&lt;=99,IF(B184&lt;=9,join(,""000"",B184),join(,""00"",B184)),join(,""0"",B184)),B184)"),"0537")</f>
        <v>0537</v>
      </c>
      <c r="D184" s="52" t="s">
        <v>456</v>
      </c>
      <c r="E184" s="53" t="s">
        <v>20</v>
      </c>
      <c r="F184" s="34" t="str">
        <f t="shared" si="1"/>
        <v>#REF!</v>
      </c>
      <c r="G184" s="34" t="str">
        <f t="shared" si="2"/>
        <v>#REF!</v>
      </c>
      <c r="H184" s="54" t="s">
        <v>21</v>
      </c>
      <c r="I184" s="37" t="s">
        <v>99</v>
      </c>
      <c r="J184" s="54" t="s">
        <v>20</v>
      </c>
      <c r="K184" s="42" t="s">
        <v>48</v>
      </c>
      <c r="L184" s="42" t="s">
        <v>457</v>
      </c>
      <c r="M184" s="38" t="s">
        <v>458</v>
      </c>
      <c r="N184" s="42" t="s">
        <v>25</v>
      </c>
      <c r="O184" s="42" t="s">
        <v>86</v>
      </c>
      <c r="P184" s="43" t="s">
        <v>97</v>
      </c>
    </row>
    <row r="185">
      <c r="A185" s="51">
        <v>1274.0</v>
      </c>
      <c r="B185" s="51">
        <v>1274.0</v>
      </c>
      <c r="C185" s="34">
        <f>IFERROR(__xludf.DUMMYFUNCTION("if(B185&lt;=999,if(B185&lt;=99,IF(B185&lt;=9,join(,""000"",B185),join(,""00"",B185)),join(,""0"",B185)),B185)"),1274.0)</f>
        <v>1274</v>
      </c>
      <c r="D185" s="52" t="s">
        <v>459</v>
      </c>
      <c r="E185" s="53" t="s">
        <v>20</v>
      </c>
      <c r="F185" s="34" t="str">
        <f t="shared" si="1"/>
        <v>#REF!</v>
      </c>
      <c r="G185" s="34" t="str">
        <f t="shared" si="2"/>
        <v>#REF!</v>
      </c>
      <c r="H185" s="54" t="s">
        <v>21</v>
      </c>
      <c r="I185" s="37" t="s">
        <v>101</v>
      </c>
      <c r="J185" s="54" t="s">
        <v>20</v>
      </c>
      <c r="K185" s="42" t="s">
        <v>330</v>
      </c>
      <c r="L185" s="42" t="s">
        <v>457</v>
      </c>
      <c r="M185" s="38">
        <v>81.0</v>
      </c>
      <c r="N185" s="42" t="s">
        <v>25</v>
      </c>
      <c r="O185" s="42" t="s">
        <v>86</v>
      </c>
      <c r="P185" s="43" t="s">
        <v>97</v>
      </c>
    </row>
    <row r="186">
      <c r="A186" s="33">
        <v>1268.0</v>
      </c>
      <c r="B186" s="34">
        <v>1268.0</v>
      </c>
      <c r="C186" s="34">
        <f>IFERROR(__xludf.DUMMYFUNCTION("if(B186&lt;=999,if(B186&lt;=99,IF(B186&lt;=9,join(,""000"",B186),join(,""00"",B186)),join(,""0"",B186)),B186)"),1268.0)</f>
        <v>1268</v>
      </c>
      <c r="D186" s="35" t="s">
        <v>460</v>
      </c>
      <c r="E186" s="34" t="s">
        <v>20</v>
      </c>
      <c r="F186" s="34" t="str">
        <f t="shared" si="1"/>
        <v>#REF!</v>
      </c>
      <c r="G186" s="34" t="str">
        <f t="shared" si="2"/>
        <v>#REF!</v>
      </c>
      <c r="H186" s="36" t="s">
        <v>21</v>
      </c>
      <c r="I186" s="37" t="s">
        <v>99</v>
      </c>
      <c r="J186" s="36" t="s">
        <v>35</v>
      </c>
      <c r="K186" s="42"/>
      <c r="L186" s="42"/>
      <c r="M186" s="38">
        <v>81.0</v>
      </c>
      <c r="N186" s="42"/>
      <c r="O186" s="42"/>
      <c r="P186" s="43" t="s">
        <v>461</v>
      </c>
    </row>
    <row r="187">
      <c r="A187" s="51">
        <v>469.0</v>
      </c>
      <c r="B187" s="51">
        <v>469.0</v>
      </c>
      <c r="C187" s="34" t="str">
        <f>IFERROR(__xludf.DUMMYFUNCTION("if(B187&lt;=999,if(B187&lt;=99,IF(B187&lt;=9,join(,""000"",B187),join(,""00"",B187)),join(,""0"",B187)),B187)"),"0469")</f>
        <v>0469</v>
      </c>
      <c r="D187" s="52" t="s">
        <v>462</v>
      </c>
      <c r="E187" s="53" t="s">
        <v>20</v>
      </c>
      <c r="F187" s="34" t="str">
        <f t="shared" si="1"/>
        <v>#REF!</v>
      </c>
      <c r="G187" s="34" t="str">
        <f t="shared" si="2"/>
        <v>#REF!</v>
      </c>
      <c r="H187" s="54" t="s">
        <v>21</v>
      </c>
      <c r="I187" s="37" t="s">
        <v>34</v>
      </c>
      <c r="J187" s="54" t="s">
        <v>35</v>
      </c>
      <c r="K187" s="42"/>
      <c r="L187" s="42"/>
      <c r="M187" s="38" t="e">
        <v>#N/A</v>
      </c>
      <c r="N187" s="42"/>
      <c r="O187" s="42"/>
      <c r="P187" s="43" t="s">
        <v>61</v>
      </c>
    </row>
    <row r="188">
      <c r="A188" s="51">
        <v>1054.0</v>
      </c>
      <c r="B188" s="51">
        <v>1054.0</v>
      </c>
      <c r="C188" s="34">
        <f>IFERROR(__xludf.DUMMYFUNCTION("if(B188&lt;=999,if(B188&lt;=99,IF(B188&lt;=9,join(,""000"",B188),join(,""00"",B188)),join(,""0"",B188)),B188)"),1054.0)</f>
        <v>1054</v>
      </c>
      <c r="D188" s="52" t="s">
        <v>463</v>
      </c>
      <c r="E188" s="53" t="s">
        <v>35</v>
      </c>
      <c r="F188" s="34" t="str">
        <f t="shared" si="1"/>
        <v>#REF!</v>
      </c>
      <c r="G188" s="34" t="str">
        <f t="shared" si="2"/>
        <v>#REF!</v>
      </c>
      <c r="H188" s="54" t="s">
        <v>21</v>
      </c>
      <c r="I188" s="44"/>
      <c r="J188" s="54"/>
      <c r="K188" s="42"/>
      <c r="L188" s="42"/>
      <c r="M188" s="38" t="e">
        <v>#N/A</v>
      </c>
      <c r="N188" s="42"/>
      <c r="O188" s="42"/>
      <c r="P188" s="43"/>
    </row>
    <row r="189">
      <c r="A189" s="51">
        <v>1215.0</v>
      </c>
      <c r="B189" s="51">
        <v>1215.0</v>
      </c>
      <c r="C189" s="34">
        <f>IFERROR(__xludf.DUMMYFUNCTION("if(B189&lt;=999,if(B189&lt;=99,IF(B189&lt;=9,join(,""000"",B189),join(,""00"",B189)),join(,""0"",B189)),B189)"),1215.0)</f>
        <v>1215</v>
      </c>
      <c r="D189" s="52" t="s">
        <v>464</v>
      </c>
      <c r="E189" s="53" t="s">
        <v>35</v>
      </c>
      <c r="F189" s="34" t="str">
        <f t="shared" si="1"/>
        <v>#REF!</v>
      </c>
      <c r="G189" s="34" t="str">
        <f t="shared" si="2"/>
        <v>#REF!</v>
      </c>
      <c r="H189" s="54" t="s">
        <v>21</v>
      </c>
      <c r="I189" s="44"/>
      <c r="J189" s="54"/>
      <c r="K189" s="42"/>
      <c r="L189" s="42"/>
      <c r="M189" s="38" t="e">
        <v>#N/A</v>
      </c>
      <c r="N189" s="42"/>
      <c r="O189" s="42"/>
      <c r="P189" s="43"/>
    </row>
    <row r="190">
      <c r="A190" s="51">
        <v>123.0</v>
      </c>
      <c r="B190" s="51">
        <v>123.0</v>
      </c>
      <c r="C190" s="34" t="str">
        <f>IFERROR(__xludf.DUMMYFUNCTION("if(B190&lt;=999,if(B190&lt;=99,IF(B190&lt;=9,join(,""000"",B190),join(,""00"",B190)),join(,""0"",B190)),B190)"),"0123")</f>
        <v>0123</v>
      </c>
      <c r="D190" s="52" t="s">
        <v>465</v>
      </c>
      <c r="E190" s="53" t="s">
        <v>35</v>
      </c>
      <c r="F190" s="34" t="str">
        <f t="shared" si="1"/>
        <v>#REF!</v>
      </c>
      <c r="G190" s="34" t="str">
        <f t="shared" si="2"/>
        <v>#REF!</v>
      </c>
      <c r="H190" s="54" t="s">
        <v>21</v>
      </c>
      <c r="I190" s="44"/>
      <c r="J190" s="54"/>
      <c r="K190" s="42"/>
      <c r="L190" s="42"/>
      <c r="M190" s="38" t="e">
        <v>#N/A</v>
      </c>
      <c r="N190" s="42"/>
      <c r="O190" s="42"/>
      <c r="P190" s="43"/>
    </row>
    <row r="191">
      <c r="A191" s="51">
        <v>56.0</v>
      </c>
      <c r="B191" s="51">
        <v>56.0</v>
      </c>
      <c r="C191" s="34" t="str">
        <f>IFERROR(__xludf.DUMMYFUNCTION("if(B191&lt;=999,if(B191&lt;=99,IF(B191&lt;=9,join(,""000"",B191),join(,""00"",B191)),join(,""0"",B191)),B191)"),"0056")</f>
        <v>0056</v>
      </c>
      <c r="D191" s="52" t="s">
        <v>466</v>
      </c>
      <c r="E191" s="53" t="s">
        <v>20</v>
      </c>
      <c r="F191" s="34" t="str">
        <f t="shared" si="1"/>
        <v>#REF!</v>
      </c>
      <c r="G191" s="34" t="str">
        <f t="shared" si="2"/>
        <v>#REF!</v>
      </c>
      <c r="H191" s="54" t="s">
        <v>21</v>
      </c>
      <c r="I191" s="37" t="s">
        <v>22</v>
      </c>
      <c r="J191" s="54" t="s">
        <v>35</v>
      </c>
      <c r="K191" s="42"/>
      <c r="L191" s="42"/>
      <c r="M191" s="38" t="e">
        <v>#N/A</v>
      </c>
      <c r="N191" s="42"/>
      <c r="O191" s="42"/>
      <c r="P191" s="43" t="s">
        <v>43</v>
      </c>
    </row>
    <row r="192">
      <c r="A192" s="51">
        <v>1409.0</v>
      </c>
      <c r="B192" s="51">
        <v>1409.0</v>
      </c>
      <c r="C192" s="34">
        <f>IFERROR(__xludf.DUMMYFUNCTION("if(B192&lt;=999,if(B192&lt;=99,IF(B192&lt;=9,join(,""000"",B192),join(,""00"",B192)),join(,""0"",B192)),B192)"),1409.0)</f>
        <v>1409</v>
      </c>
      <c r="D192" s="52" t="s">
        <v>467</v>
      </c>
      <c r="E192" s="53" t="s">
        <v>20</v>
      </c>
      <c r="F192" s="34" t="str">
        <f t="shared" si="1"/>
        <v>#REF!</v>
      </c>
      <c r="G192" s="34" t="str">
        <f t="shared" si="2"/>
        <v>#REF!</v>
      </c>
      <c r="H192" s="54" t="s">
        <v>21</v>
      </c>
      <c r="I192" s="37" t="s">
        <v>73</v>
      </c>
      <c r="J192" s="54" t="s">
        <v>20</v>
      </c>
      <c r="K192" s="42" t="s">
        <v>95</v>
      </c>
      <c r="L192" s="68" t="s">
        <v>468</v>
      </c>
      <c r="M192" s="38" t="s">
        <v>469</v>
      </c>
      <c r="N192" s="42" t="s">
        <v>470</v>
      </c>
      <c r="O192" s="42" t="s">
        <v>471</v>
      </c>
      <c r="P192" s="43" t="s">
        <v>472</v>
      </c>
    </row>
    <row r="193">
      <c r="A193" s="33">
        <v>1275.0</v>
      </c>
      <c r="B193" s="34">
        <v>1275.0</v>
      </c>
      <c r="C193" s="34">
        <f>IFERROR(__xludf.DUMMYFUNCTION("if(B193&lt;=999,if(B193&lt;=99,IF(B193&lt;=9,join(,""000"",B193),join(,""00"",B193)),join(,""0"",B193)),B193)"),1275.0)</f>
        <v>1275</v>
      </c>
      <c r="D193" s="35" t="s">
        <v>473</v>
      </c>
      <c r="E193" s="34" t="s">
        <v>35</v>
      </c>
      <c r="F193" s="34" t="str">
        <f t="shared" si="1"/>
        <v>#REF!</v>
      </c>
      <c r="G193" s="34" t="str">
        <f t="shared" si="2"/>
        <v>#REF!</v>
      </c>
      <c r="H193" s="36" t="s">
        <v>21</v>
      </c>
      <c r="I193" s="44"/>
      <c r="J193" s="36"/>
      <c r="K193" s="38"/>
      <c r="L193" s="42"/>
      <c r="M193" s="38" t="e">
        <v>#N/A</v>
      </c>
      <c r="N193" s="38"/>
      <c r="O193" s="38"/>
      <c r="P193" s="39"/>
    </row>
    <row r="194">
      <c r="A194" s="33">
        <v>1289.0</v>
      </c>
      <c r="B194" s="34">
        <v>1289.0</v>
      </c>
      <c r="C194" s="34">
        <f>IFERROR(__xludf.DUMMYFUNCTION("if(B194&lt;=999,if(B194&lt;=99,IF(B194&lt;=9,join(,""000"",B194),join(,""00"",B194)),join(,""0"",B194)),B194)"),1289.0)</f>
        <v>1289</v>
      </c>
      <c r="D194" s="35" t="s">
        <v>474</v>
      </c>
      <c r="E194" s="34" t="s">
        <v>20</v>
      </c>
      <c r="F194" s="34" t="str">
        <f t="shared" si="1"/>
        <v>#REF!</v>
      </c>
      <c r="G194" s="34" t="str">
        <f t="shared" si="2"/>
        <v>#REF!</v>
      </c>
      <c r="H194" s="36" t="s">
        <v>21</v>
      </c>
      <c r="I194" s="37" t="s">
        <v>22</v>
      </c>
      <c r="J194" s="36" t="s">
        <v>35</v>
      </c>
      <c r="K194" s="38"/>
      <c r="L194" s="42"/>
      <c r="M194" s="38">
        <v>2.0</v>
      </c>
      <c r="N194" s="38"/>
      <c r="O194" s="38"/>
      <c r="P194" s="39" t="s">
        <v>475</v>
      </c>
    </row>
    <row r="195">
      <c r="A195" s="51">
        <v>1238.0</v>
      </c>
      <c r="B195" s="51">
        <v>1238.0</v>
      </c>
      <c r="C195" s="34">
        <f>IFERROR(__xludf.DUMMYFUNCTION("if(B195&lt;=999,if(B195&lt;=99,IF(B195&lt;=9,join(,""000"",B195),join(,""00"",B195)),join(,""0"",B195)),B195)"),1238.0)</f>
        <v>1238</v>
      </c>
      <c r="D195" s="52" t="s">
        <v>476</v>
      </c>
      <c r="E195" s="53" t="s">
        <v>20</v>
      </c>
      <c r="F195" s="34" t="str">
        <f t="shared" si="1"/>
        <v>#REF!</v>
      </c>
      <c r="G195" s="34" t="str">
        <f t="shared" si="2"/>
        <v>#REF!</v>
      </c>
      <c r="H195" s="54" t="s">
        <v>21</v>
      </c>
      <c r="I195" s="37" t="s">
        <v>101</v>
      </c>
      <c r="J195" s="54" t="s">
        <v>35</v>
      </c>
      <c r="K195" s="42"/>
      <c r="L195" s="42"/>
      <c r="M195" s="38">
        <v>7000.0</v>
      </c>
      <c r="N195" s="42"/>
      <c r="O195" s="42"/>
      <c r="P195" s="39" t="s">
        <v>475</v>
      </c>
    </row>
    <row r="196">
      <c r="A196" s="55">
        <v>1041.0</v>
      </c>
      <c r="B196" s="55">
        <v>1041.0</v>
      </c>
      <c r="C196" s="45">
        <f>IFERROR(__xludf.DUMMYFUNCTION("if(B196&lt;=999,if(B196&lt;=99,IF(B196&lt;=9,join(,""000"",B196),join(,""00"",B196)),join(,""0"",B196)),B196)"),1041.0)</f>
        <v>1041</v>
      </c>
      <c r="D196" s="56" t="s">
        <v>477</v>
      </c>
      <c r="E196" s="55" t="s">
        <v>20</v>
      </c>
      <c r="F196" s="45" t="str">
        <f t="shared" si="1"/>
        <v>#REF!</v>
      </c>
      <c r="G196" s="45" t="str">
        <f t="shared" si="2"/>
        <v>#REF!</v>
      </c>
      <c r="H196" s="57" t="s">
        <v>21</v>
      </c>
      <c r="I196" s="48" t="s">
        <v>77</v>
      </c>
      <c r="J196" s="57" t="s">
        <v>20</v>
      </c>
      <c r="K196" s="60" t="s">
        <v>95</v>
      </c>
      <c r="L196" s="60" t="s">
        <v>478</v>
      </c>
      <c r="M196" s="49">
        <v>25001.0</v>
      </c>
      <c r="N196" s="60" t="s">
        <v>25</v>
      </c>
      <c r="O196" s="60" t="s">
        <v>55</v>
      </c>
      <c r="P196" s="61"/>
    </row>
    <row r="197">
      <c r="A197" s="33">
        <v>1442.0</v>
      </c>
      <c r="B197" s="34">
        <v>1442.0</v>
      </c>
      <c r="C197" s="34">
        <f>IFERROR(__xludf.DUMMYFUNCTION("if(B197&lt;=999,if(B197&lt;=99,IF(B197&lt;=9,join(,""000"",B197),join(,""00"",B197)),join(,""0"",B197)),B197)"),1442.0)</f>
        <v>1442</v>
      </c>
      <c r="D197" s="35" t="s">
        <v>479</v>
      </c>
      <c r="E197" s="34" t="s">
        <v>20</v>
      </c>
      <c r="F197" s="34" t="str">
        <f t="shared" si="1"/>
        <v>#REF!</v>
      </c>
      <c r="G197" s="34" t="str">
        <f t="shared" si="2"/>
        <v>#REF!</v>
      </c>
      <c r="H197" s="36" t="s">
        <v>21</v>
      </c>
      <c r="I197" s="37" t="s">
        <v>22</v>
      </c>
      <c r="J197" s="36" t="s">
        <v>35</v>
      </c>
      <c r="K197" s="36" t="s">
        <v>480</v>
      </c>
      <c r="L197" s="36" t="s">
        <v>481</v>
      </c>
      <c r="M197" s="38">
        <v>32.0</v>
      </c>
      <c r="N197" s="38" t="s">
        <v>25</v>
      </c>
      <c r="O197" s="38" t="s">
        <v>86</v>
      </c>
      <c r="P197" s="39"/>
    </row>
    <row r="198">
      <c r="A198" s="51">
        <v>1342.0</v>
      </c>
      <c r="B198" s="51">
        <v>1342.0</v>
      </c>
      <c r="C198" s="34">
        <f>IFERROR(__xludf.DUMMYFUNCTION("if(B198&lt;=999,if(B198&lt;=99,IF(B198&lt;=9,join(,""000"",B198),join(,""00"",B198)),join(,""0"",B198)),B198)"),1342.0)</f>
        <v>1342</v>
      </c>
      <c r="D198" s="52" t="s">
        <v>482</v>
      </c>
      <c r="E198" s="53" t="s">
        <v>20</v>
      </c>
      <c r="F198" s="34" t="str">
        <f t="shared" si="1"/>
        <v>#REF!</v>
      </c>
      <c r="G198" s="34" t="str">
        <f t="shared" si="2"/>
        <v>#REF!</v>
      </c>
      <c r="H198" s="54" t="s">
        <v>21</v>
      </c>
      <c r="I198" s="37" t="s">
        <v>63</v>
      </c>
      <c r="J198" s="54" t="s">
        <v>20</v>
      </c>
      <c r="K198" s="42" t="s">
        <v>95</v>
      </c>
      <c r="L198" s="42" t="s">
        <v>483</v>
      </c>
      <c r="M198" s="38" t="s">
        <v>484</v>
      </c>
      <c r="N198" s="42" t="s">
        <v>25</v>
      </c>
      <c r="O198" s="42" t="s">
        <v>485</v>
      </c>
      <c r="P198" s="43" t="s">
        <v>97</v>
      </c>
    </row>
    <row r="199">
      <c r="A199" s="51">
        <v>1102.0</v>
      </c>
      <c r="B199" s="51">
        <v>1102.0</v>
      </c>
      <c r="C199" s="34">
        <f>IFERROR(__xludf.DUMMYFUNCTION("if(B199&lt;=999,if(B199&lt;=99,IF(B199&lt;=9,join(,""000"",B199),join(,""00"",B199)),join(,""0"",B199)),B199)"),1102.0)</f>
        <v>1102</v>
      </c>
      <c r="D199" s="52" t="s">
        <v>486</v>
      </c>
      <c r="E199" s="53" t="s">
        <v>20</v>
      </c>
      <c r="F199" s="34" t="str">
        <f t="shared" si="1"/>
        <v>#REF!</v>
      </c>
      <c r="G199" s="34" t="str">
        <f t="shared" si="2"/>
        <v>#REF!</v>
      </c>
      <c r="H199" s="54" t="s">
        <v>21</v>
      </c>
      <c r="I199" s="37" t="s">
        <v>22</v>
      </c>
      <c r="J199" s="54" t="s">
        <v>20</v>
      </c>
      <c r="K199" s="42" t="s">
        <v>487</v>
      </c>
      <c r="L199" s="42" t="s">
        <v>488</v>
      </c>
      <c r="M199" s="38">
        <v>80.0</v>
      </c>
      <c r="N199" s="42" t="s">
        <v>25</v>
      </c>
      <c r="O199" s="42">
        <v>9.321002526E9</v>
      </c>
      <c r="P199" s="43" t="s">
        <v>82</v>
      </c>
    </row>
    <row r="200">
      <c r="A200" s="51">
        <v>1199.0</v>
      </c>
      <c r="B200" s="51">
        <v>1199.0</v>
      </c>
      <c r="C200" s="34">
        <f>IFERROR(__xludf.DUMMYFUNCTION("if(B200&lt;=999,if(B200&lt;=99,IF(B200&lt;=9,join(,""000"",B200),join(,""00"",B200)),join(,""0"",B200)),B200)"),1199.0)</f>
        <v>1199</v>
      </c>
      <c r="D200" s="52" t="s">
        <v>489</v>
      </c>
      <c r="E200" s="53" t="s">
        <v>20</v>
      </c>
      <c r="F200" s="34" t="str">
        <f t="shared" si="1"/>
        <v>#REF!</v>
      </c>
      <c r="G200" s="34" t="str">
        <f t="shared" si="2"/>
        <v>#REF!</v>
      </c>
      <c r="H200" s="54" t="s">
        <v>21</v>
      </c>
      <c r="I200" s="37" t="s">
        <v>22</v>
      </c>
      <c r="J200" s="54" t="s">
        <v>35</v>
      </c>
      <c r="K200" s="38"/>
      <c r="L200" s="42"/>
      <c r="M200" s="38">
        <v>25.0</v>
      </c>
      <c r="N200" s="38"/>
      <c r="O200" s="38"/>
      <c r="P200" s="39" t="s">
        <v>43</v>
      </c>
    </row>
    <row r="201">
      <c r="A201" s="51">
        <v>1378.0</v>
      </c>
      <c r="B201" s="51">
        <v>1378.0</v>
      </c>
      <c r="C201" s="34">
        <f>IFERROR(__xludf.DUMMYFUNCTION("if(B201&lt;=999,if(B201&lt;=99,IF(B201&lt;=9,join(,""000"",B201),join(,""00"",B201)),join(,""0"",B201)),B201)"),1378.0)</f>
        <v>1378</v>
      </c>
      <c r="D201" s="52" t="s">
        <v>490</v>
      </c>
      <c r="E201" s="53" t="s">
        <v>35</v>
      </c>
      <c r="F201" s="34" t="str">
        <f t="shared" si="1"/>
        <v>#REF!</v>
      </c>
      <c r="G201" s="34" t="str">
        <f t="shared" si="2"/>
        <v>#REF!</v>
      </c>
      <c r="H201" s="54" t="s">
        <v>21</v>
      </c>
      <c r="I201" s="44"/>
      <c r="J201" s="54"/>
      <c r="K201" s="42"/>
      <c r="L201" s="42"/>
      <c r="M201" s="38" t="e">
        <v>#N/A</v>
      </c>
      <c r="N201" s="42"/>
      <c r="O201" s="42"/>
      <c r="P201" s="43"/>
    </row>
    <row r="202">
      <c r="A202" s="51">
        <v>1283.0</v>
      </c>
      <c r="B202" s="51">
        <v>1283.0</v>
      </c>
      <c r="C202" s="34">
        <f>IFERROR(__xludf.DUMMYFUNCTION("if(B202&lt;=999,if(B202&lt;=99,IF(B202&lt;=9,join(,""000"",B202),join(,""00"",B202)),join(,""0"",B202)),B202)"),1283.0)</f>
        <v>1283</v>
      </c>
      <c r="D202" s="52" t="s">
        <v>491</v>
      </c>
      <c r="E202" s="53" t="s">
        <v>20</v>
      </c>
      <c r="F202" s="34" t="str">
        <f t="shared" si="1"/>
        <v>#REF!</v>
      </c>
      <c r="G202" s="34" t="str">
        <f t="shared" si="2"/>
        <v>#REF!</v>
      </c>
      <c r="H202" s="54" t="s">
        <v>21</v>
      </c>
      <c r="I202" s="37" t="s">
        <v>34</v>
      </c>
      <c r="J202" s="54" t="s">
        <v>35</v>
      </c>
      <c r="K202" s="42"/>
      <c r="L202" s="42"/>
      <c r="M202" s="38">
        <v>25001.0</v>
      </c>
      <c r="N202" s="42"/>
      <c r="O202" s="42"/>
      <c r="P202" s="43" t="s">
        <v>258</v>
      </c>
    </row>
    <row r="203">
      <c r="A203" s="51">
        <v>602.0</v>
      </c>
      <c r="B203" s="51">
        <v>602.0</v>
      </c>
      <c r="C203" s="34" t="str">
        <f>IFERROR(__xludf.DUMMYFUNCTION("if(B203&lt;=999,if(B203&lt;=99,IF(B203&lt;=9,join(,""000"",B203),join(,""00"",B203)),join(,""0"",B203)),B203)"),"0602")</f>
        <v>0602</v>
      </c>
      <c r="D203" s="52" t="s">
        <v>492</v>
      </c>
      <c r="E203" s="53" t="s">
        <v>35</v>
      </c>
      <c r="F203" s="34" t="str">
        <f t="shared" si="1"/>
        <v>#REF!</v>
      </c>
      <c r="G203" s="34" t="str">
        <f t="shared" si="2"/>
        <v>#REF!</v>
      </c>
      <c r="H203" s="54" t="s">
        <v>21</v>
      </c>
      <c r="I203" s="44"/>
      <c r="J203" s="54"/>
      <c r="K203" s="42"/>
      <c r="L203" s="42"/>
      <c r="M203" s="38" t="e">
        <v>#N/A</v>
      </c>
      <c r="N203" s="42"/>
      <c r="O203" s="42"/>
      <c r="P203" s="43"/>
    </row>
    <row r="204">
      <c r="A204" s="51">
        <v>1292.0</v>
      </c>
      <c r="B204" s="51">
        <v>1292.0</v>
      </c>
      <c r="C204" s="34">
        <f>IFERROR(__xludf.DUMMYFUNCTION("if(B204&lt;=999,if(B204&lt;=99,IF(B204&lt;=9,join(,""000"",B204),join(,""00"",B204)),join(,""0"",B204)),B204)"),1292.0)</f>
        <v>1292</v>
      </c>
      <c r="D204" s="52" t="s">
        <v>493</v>
      </c>
      <c r="E204" s="53" t="s">
        <v>20</v>
      </c>
      <c r="F204" s="34" t="str">
        <f t="shared" si="1"/>
        <v>#REF!</v>
      </c>
      <c r="G204" s="34" t="str">
        <f t="shared" si="2"/>
        <v>#REF!</v>
      </c>
      <c r="H204" s="54" t="s">
        <v>21</v>
      </c>
      <c r="I204" s="37" t="s">
        <v>101</v>
      </c>
      <c r="J204" s="54"/>
      <c r="K204" s="42"/>
      <c r="L204" s="42"/>
      <c r="M204" s="38">
        <v>25001.0</v>
      </c>
      <c r="N204" s="42"/>
      <c r="O204" s="42"/>
      <c r="P204" s="43"/>
    </row>
    <row r="205">
      <c r="A205" s="33">
        <v>1399.0</v>
      </c>
      <c r="B205" s="34">
        <v>1399.0</v>
      </c>
      <c r="C205" s="34">
        <f>IFERROR(__xludf.DUMMYFUNCTION("if(B205&lt;=999,if(B205&lt;=99,IF(B205&lt;=9,join(,""000"",B205),join(,""00"",B205)),join(,""0"",B205)),B205)"),1399.0)</f>
        <v>1399</v>
      </c>
      <c r="D205" s="35" t="s">
        <v>494</v>
      </c>
      <c r="E205" s="34" t="s">
        <v>20</v>
      </c>
      <c r="F205" s="34" t="str">
        <f t="shared" si="1"/>
        <v>#REF!</v>
      </c>
      <c r="G205" s="34" t="str">
        <f t="shared" si="2"/>
        <v>#REF!</v>
      </c>
      <c r="H205" s="36" t="s">
        <v>21</v>
      </c>
      <c r="I205" s="37" t="s">
        <v>495</v>
      </c>
      <c r="J205" s="36" t="s">
        <v>35</v>
      </c>
      <c r="K205" s="38" t="s">
        <v>95</v>
      </c>
      <c r="L205" s="38" t="s">
        <v>496</v>
      </c>
      <c r="M205" s="38">
        <v>5005.0</v>
      </c>
      <c r="N205" s="38" t="s">
        <v>25</v>
      </c>
      <c r="O205" s="38" t="s">
        <v>55</v>
      </c>
      <c r="P205" s="39" t="s">
        <v>50</v>
      </c>
    </row>
    <row r="206">
      <c r="A206" s="33">
        <v>810.0</v>
      </c>
      <c r="B206" s="34">
        <v>810.0</v>
      </c>
      <c r="C206" s="34" t="str">
        <f>IFERROR(__xludf.DUMMYFUNCTION("if(B206&lt;=999,if(B206&lt;=99,IF(B206&lt;=9,join(,""000"",B206),join(,""00"",B206)),join(,""0"",B206)),B206)"),"0810")</f>
        <v>0810</v>
      </c>
      <c r="D206" s="35" t="s">
        <v>497</v>
      </c>
      <c r="E206" s="34" t="s">
        <v>20</v>
      </c>
      <c r="F206" s="34" t="str">
        <f t="shared" si="1"/>
        <v>#REF!</v>
      </c>
      <c r="G206" s="34" t="str">
        <f t="shared" si="2"/>
        <v>#REF!</v>
      </c>
      <c r="H206" s="36" t="s">
        <v>21</v>
      </c>
      <c r="I206" s="37" t="s">
        <v>22</v>
      </c>
      <c r="J206" s="36" t="s">
        <v>35</v>
      </c>
      <c r="K206" s="38"/>
      <c r="L206" s="38" t="s">
        <v>498</v>
      </c>
      <c r="M206" s="38">
        <v>16.0</v>
      </c>
      <c r="N206" s="38"/>
      <c r="O206" s="38"/>
      <c r="P206" s="39"/>
    </row>
    <row r="207">
      <c r="A207" s="51">
        <v>1212.0</v>
      </c>
      <c r="B207" s="51">
        <v>1212.0</v>
      </c>
      <c r="C207" s="34">
        <f>IFERROR(__xludf.DUMMYFUNCTION("if(B207&lt;=999,if(B207&lt;=99,IF(B207&lt;=9,join(,""000"",B207),join(,""00"",B207)),join(,""0"",B207)),B207)"),1212.0)</f>
        <v>1212</v>
      </c>
      <c r="D207" s="52" t="s">
        <v>499</v>
      </c>
      <c r="E207" s="53" t="s">
        <v>20</v>
      </c>
      <c r="F207" s="34" t="str">
        <f t="shared" si="1"/>
        <v>#REF!</v>
      </c>
      <c r="G207" s="34" t="str">
        <f t="shared" si="2"/>
        <v>#REF!</v>
      </c>
      <c r="H207" s="54" t="s">
        <v>21</v>
      </c>
      <c r="I207" s="37" t="s">
        <v>77</v>
      </c>
      <c r="J207" s="54" t="s">
        <v>35</v>
      </c>
      <c r="K207" s="42" t="s">
        <v>95</v>
      </c>
      <c r="L207" s="36" t="s">
        <v>500</v>
      </c>
      <c r="M207" s="38">
        <v>16160.0</v>
      </c>
      <c r="N207" s="62" t="s">
        <v>25</v>
      </c>
      <c r="O207" s="62">
        <v>123456.0</v>
      </c>
      <c r="P207" s="43" t="s">
        <v>501</v>
      </c>
    </row>
    <row r="208">
      <c r="A208" s="51">
        <v>1372.0</v>
      </c>
      <c r="B208" s="51">
        <v>1372.0</v>
      </c>
      <c r="C208" s="34">
        <f>IFERROR(__xludf.DUMMYFUNCTION("if(B208&lt;=999,if(B208&lt;=99,IF(B208&lt;=9,join(,""000"",B208),join(,""00"",B208)),join(,""0"",B208)),B208)"),1372.0)</f>
        <v>1372</v>
      </c>
      <c r="D208" s="52" t="s">
        <v>502</v>
      </c>
      <c r="E208" s="53" t="s">
        <v>20</v>
      </c>
      <c r="F208" s="34" t="str">
        <f t="shared" si="1"/>
        <v>#REF!</v>
      </c>
      <c r="G208" s="34" t="str">
        <f t="shared" si="2"/>
        <v>#REF!</v>
      </c>
      <c r="H208" s="54" t="s">
        <v>21</v>
      </c>
      <c r="I208" s="37" t="s">
        <v>73</v>
      </c>
      <c r="J208" s="54" t="s">
        <v>35</v>
      </c>
      <c r="K208" s="42" t="s">
        <v>23</v>
      </c>
      <c r="L208" s="36" t="s">
        <v>503</v>
      </c>
      <c r="M208" s="38" t="s">
        <v>504</v>
      </c>
      <c r="N208" s="62">
        <v>666666.0</v>
      </c>
      <c r="O208" s="62" t="s">
        <v>86</v>
      </c>
      <c r="P208" s="43" t="s">
        <v>87</v>
      </c>
    </row>
    <row r="209">
      <c r="A209" s="51">
        <v>1412.0</v>
      </c>
      <c r="B209" s="51">
        <v>1412.0</v>
      </c>
      <c r="C209" s="34">
        <f>IFERROR(__xludf.DUMMYFUNCTION("if(B209&lt;=999,if(B209&lt;=99,IF(B209&lt;=9,join(,""000"",B209),join(,""00"",B209)),join(,""0"",B209)),B209)"),1412.0)</f>
        <v>1412</v>
      </c>
      <c r="D209" s="52" t="s">
        <v>505</v>
      </c>
      <c r="E209" s="53" t="s">
        <v>20</v>
      </c>
      <c r="F209" s="34" t="s">
        <v>506</v>
      </c>
      <c r="G209" s="34">
        <v>8.081061208E9</v>
      </c>
      <c r="H209" s="54" t="s">
        <v>21</v>
      </c>
      <c r="I209" s="37" t="s">
        <v>73</v>
      </c>
      <c r="J209" s="54" t="s">
        <v>20</v>
      </c>
      <c r="K209" s="42" t="s">
        <v>95</v>
      </c>
      <c r="L209" s="36" t="s">
        <v>507</v>
      </c>
      <c r="M209" s="38" t="e">
        <v>#N/A</v>
      </c>
      <c r="N209" s="42" t="s">
        <v>25</v>
      </c>
      <c r="O209" s="42" t="s">
        <v>163</v>
      </c>
      <c r="P209" s="43" t="s">
        <v>97</v>
      </c>
    </row>
    <row r="210">
      <c r="A210" s="51">
        <v>521.0</v>
      </c>
      <c r="B210" s="51">
        <v>521.0</v>
      </c>
      <c r="C210" s="34" t="str">
        <f>IFERROR(__xludf.DUMMYFUNCTION("if(B210&lt;=999,if(B210&lt;=99,IF(B210&lt;=9,join(,""000"",B210),join(,""00"",B210)),join(,""0"",B210)),B210)"),"0521")</f>
        <v>0521</v>
      </c>
      <c r="D210" s="52" t="s">
        <v>508</v>
      </c>
      <c r="E210" s="53" t="s">
        <v>20</v>
      </c>
      <c r="F210" s="34" t="str">
        <f t="shared" ref="F210:F286" si="3">VLOOKUP(C210,'Copy of Form Responses; CCTV Infra 1'!$G$2:$I$675,2,false)</f>
        <v>#REF!</v>
      </c>
      <c r="G210" s="34" t="str">
        <f t="shared" ref="G210:G286" si="4">VLOOKUP(C210,'Copy of Form Responses; CCTV Infra 1'!$G$2:$I$675,3,false)</f>
        <v>#REF!</v>
      </c>
      <c r="H210" s="54" t="s">
        <v>21</v>
      </c>
      <c r="I210" s="37" t="s">
        <v>22</v>
      </c>
      <c r="J210" s="54" t="s">
        <v>35</v>
      </c>
      <c r="K210" s="42"/>
      <c r="L210" s="42"/>
      <c r="M210" s="38">
        <v>16.0</v>
      </c>
      <c r="N210" s="42"/>
      <c r="O210" s="42"/>
      <c r="P210" s="43" t="s">
        <v>509</v>
      </c>
    </row>
    <row r="211">
      <c r="A211" s="51">
        <v>1112.0</v>
      </c>
      <c r="B211" s="51">
        <v>1112.0</v>
      </c>
      <c r="C211" s="34">
        <f>IFERROR(__xludf.DUMMYFUNCTION("if(B211&lt;=999,if(B211&lt;=99,IF(B211&lt;=9,join(,""000"",B211),join(,""00"",B211)),join(,""0"",B211)),B211)"),1112.0)</f>
        <v>1112</v>
      </c>
      <c r="D211" s="52" t="s">
        <v>510</v>
      </c>
      <c r="E211" s="53" t="s">
        <v>20</v>
      </c>
      <c r="F211" s="34" t="str">
        <f t="shared" si="3"/>
        <v>#REF!</v>
      </c>
      <c r="G211" s="34" t="str">
        <f t="shared" si="4"/>
        <v>#REF!</v>
      </c>
      <c r="H211" s="54" t="s">
        <v>21</v>
      </c>
      <c r="I211" s="37" t="s">
        <v>60</v>
      </c>
      <c r="J211" s="54" t="s">
        <v>35</v>
      </c>
      <c r="K211" s="42" t="s">
        <v>511</v>
      </c>
      <c r="L211" s="36" t="s">
        <v>512</v>
      </c>
      <c r="M211" s="38">
        <v>80.0</v>
      </c>
      <c r="N211" s="62" t="s">
        <v>513</v>
      </c>
      <c r="O211" s="62">
        <v>888888.0</v>
      </c>
      <c r="P211" s="43" t="s">
        <v>75</v>
      </c>
    </row>
    <row r="212">
      <c r="A212" s="51">
        <v>1206.0</v>
      </c>
      <c r="B212" s="51">
        <v>1206.0</v>
      </c>
      <c r="C212" s="34">
        <f>IFERROR(__xludf.DUMMYFUNCTION("if(B212&lt;=999,if(B212&lt;=99,IF(B212&lt;=9,join(,""000"",B212),join(,""00"",B212)),join(,""0"",B212)),B212)"),1206.0)</f>
        <v>1206</v>
      </c>
      <c r="D212" s="52" t="s">
        <v>514</v>
      </c>
      <c r="E212" s="53" t="s">
        <v>20</v>
      </c>
      <c r="F212" s="34" t="str">
        <f t="shared" si="3"/>
        <v>#REF!</v>
      </c>
      <c r="G212" s="34" t="str">
        <f t="shared" si="4"/>
        <v>#REF!</v>
      </c>
      <c r="H212" s="54" t="s">
        <v>21</v>
      </c>
      <c r="I212" s="37" t="s">
        <v>99</v>
      </c>
      <c r="J212" s="54" t="s">
        <v>20</v>
      </c>
      <c r="K212" s="42" t="s">
        <v>23</v>
      </c>
      <c r="L212" s="42" t="s">
        <v>515</v>
      </c>
      <c r="M212" s="38" t="e">
        <v>#N/A</v>
      </c>
      <c r="N212" s="42" t="s">
        <v>25</v>
      </c>
      <c r="O212" s="42" t="s">
        <v>222</v>
      </c>
      <c r="P212" s="43"/>
    </row>
    <row r="213">
      <c r="A213" s="33">
        <v>1397.0</v>
      </c>
      <c r="B213" s="34">
        <v>1397.0</v>
      </c>
      <c r="C213" s="34">
        <f>IFERROR(__xludf.DUMMYFUNCTION("if(B213&lt;=999,if(B213&lt;=99,IF(B213&lt;=9,join(,""000"",B213),join(,""00"",B213)),join(,""0"",B213)),B213)"),1397.0)</f>
        <v>1397</v>
      </c>
      <c r="D213" s="35" t="s">
        <v>516</v>
      </c>
      <c r="E213" s="34" t="s">
        <v>20</v>
      </c>
      <c r="F213" s="34" t="str">
        <f t="shared" si="3"/>
        <v>#REF!</v>
      </c>
      <c r="G213" s="34" t="str">
        <f t="shared" si="4"/>
        <v>#REF!</v>
      </c>
      <c r="H213" s="36" t="s">
        <v>21</v>
      </c>
      <c r="I213" s="37" t="s">
        <v>73</v>
      </c>
      <c r="J213" s="36" t="s">
        <v>20</v>
      </c>
      <c r="K213" s="38" t="s">
        <v>95</v>
      </c>
      <c r="L213" s="78" t="s">
        <v>517</v>
      </c>
      <c r="M213" s="38" t="s">
        <v>244</v>
      </c>
      <c r="N213" s="38" t="s">
        <v>518</v>
      </c>
      <c r="O213" s="38" t="s">
        <v>519</v>
      </c>
      <c r="P213" s="39" t="s">
        <v>56</v>
      </c>
    </row>
    <row r="214">
      <c r="A214" s="33">
        <v>806.0</v>
      </c>
      <c r="B214" s="34">
        <v>806.0</v>
      </c>
      <c r="C214" s="34" t="str">
        <f>IFERROR(__xludf.DUMMYFUNCTION("if(B214&lt;=999,if(B214&lt;=99,IF(B214&lt;=9,join(,""000"",B214),join(,""00"",B214)),join(,""0"",B214)),B214)"),"0806")</f>
        <v>0806</v>
      </c>
      <c r="D214" s="35" t="s">
        <v>520</v>
      </c>
      <c r="E214" s="34" t="s">
        <v>20</v>
      </c>
      <c r="F214" s="34" t="str">
        <f t="shared" si="3"/>
        <v>#REF!</v>
      </c>
      <c r="G214" s="34" t="str">
        <f t="shared" si="4"/>
        <v>#REF!</v>
      </c>
      <c r="H214" s="36" t="s">
        <v>21</v>
      </c>
      <c r="I214" s="37" t="s">
        <v>73</v>
      </c>
      <c r="J214" s="36" t="s">
        <v>35</v>
      </c>
      <c r="K214" s="38" t="s">
        <v>511</v>
      </c>
      <c r="L214" s="38" t="s">
        <v>521</v>
      </c>
      <c r="M214" s="38" t="s">
        <v>522</v>
      </c>
      <c r="N214" s="36" t="s">
        <v>25</v>
      </c>
      <c r="O214" s="38" t="s">
        <v>523</v>
      </c>
      <c r="P214" s="39" t="s">
        <v>524</v>
      </c>
    </row>
    <row r="215">
      <c r="A215" s="51">
        <v>1037.0</v>
      </c>
      <c r="B215" s="51">
        <v>1037.0</v>
      </c>
      <c r="C215" s="34">
        <f>IFERROR(__xludf.DUMMYFUNCTION("if(B215&lt;=999,if(B215&lt;=99,IF(B215&lt;=9,join(,""000"",B215),join(,""00"",B215)),join(,""0"",B215)),B215)"),1037.0)</f>
        <v>1037</v>
      </c>
      <c r="D215" s="52" t="s">
        <v>525</v>
      </c>
      <c r="E215" s="53" t="s">
        <v>20</v>
      </c>
      <c r="F215" s="34" t="str">
        <f t="shared" si="3"/>
        <v>#REF!</v>
      </c>
      <c r="G215" s="34" t="str">
        <f t="shared" si="4"/>
        <v>#REF!</v>
      </c>
      <c r="H215" s="54" t="s">
        <v>21</v>
      </c>
      <c r="I215" s="37" t="s">
        <v>77</v>
      </c>
      <c r="J215" s="54" t="s">
        <v>35</v>
      </c>
      <c r="K215" s="42"/>
      <c r="L215" s="42"/>
      <c r="M215" s="38">
        <v>8.0</v>
      </c>
      <c r="N215" s="42"/>
      <c r="O215" s="42"/>
      <c r="P215" s="43" t="s">
        <v>70</v>
      </c>
    </row>
    <row r="216">
      <c r="A216" s="45">
        <v>532.0</v>
      </c>
      <c r="B216" s="45">
        <v>532.0</v>
      </c>
      <c r="C216" s="45" t="str">
        <f>IFERROR(__xludf.DUMMYFUNCTION("if(B216&lt;=999,if(B216&lt;=99,IF(B216&lt;=9,join(,""000"",B216),join(,""00"",B216)),join(,""0"",B216)),B216)"),"0532")</f>
        <v>0532</v>
      </c>
      <c r="D216" s="46" t="s">
        <v>526</v>
      </c>
      <c r="E216" s="45" t="s">
        <v>20</v>
      </c>
      <c r="F216" s="45" t="str">
        <f t="shared" si="3"/>
        <v>#REF!</v>
      </c>
      <c r="G216" s="45" t="str">
        <f t="shared" si="4"/>
        <v>#REF!</v>
      </c>
      <c r="H216" s="47" t="s">
        <v>21</v>
      </c>
      <c r="I216" s="48" t="s">
        <v>63</v>
      </c>
      <c r="J216" s="47" t="s">
        <v>20</v>
      </c>
      <c r="K216" s="60" t="s">
        <v>23</v>
      </c>
      <c r="L216" s="60" t="s">
        <v>527</v>
      </c>
      <c r="M216" s="49" t="e">
        <v>#N/A</v>
      </c>
      <c r="N216" s="62" t="s">
        <v>25</v>
      </c>
      <c r="O216" s="62" t="s">
        <v>528</v>
      </c>
      <c r="P216" s="79" t="s">
        <v>529</v>
      </c>
    </row>
    <row r="217">
      <c r="A217" s="51">
        <v>32.0</v>
      </c>
      <c r="B217" s="51">
        <v>32.0</v>
      </c>
      <c r="C217" s="34" t="str">
        <f>IFERROR(__xludf.DUMMYFUNCTION("if(B217&lt;=999,if(B217&lt;=99,IF(B217&lt;=9,join(,""000"",B217),join(,""00"",B217)),join(,""0"",B217)),B217)"),"0032")</f>
        <v>0032</v>
      </c>
      <c r="D217" s="52" t="s">
        <v>530</v>
      </c>
      <c r="E217" s="53" t="s">
        <v>20</v>
      </c>
      <c r="F217" s="34" t="str">
        <f t="shared" si="3"/>
        <v>#REF!</v>
      </c>
      <c r="G217" s="34" t="str">
        <f t="shared" si="4"/>
        <v>#REF!</v>
      </c>
      <c r="H217" s="54" t="s">
        <v>21</v>
      </c>
      <c r="I217" s="37" t="s">
        <v>22</v>
      </c>
      <c r="J217" s="54" t="s">
        <v>20</v>
      </c>
      <c r="K217" s="36" t="s">
        <v>531</v>
      </c>
      <c r="L217" s="36" t="s">
        <v>532</v>
      </c>
      <c r="M217" s="38"/>
      <c r="N217" s="42" t="s">
        <v>25</v>
      </c>
      <c r="O217" s="42" t="s">
        <v>533</v>
      </c>
      <c r="P217" s="80" t="s">
        <v>534</v>
      </c>
    </row>
    <row r="218">
      <c r="A218" s="51">
        <v>177.0</v>
      </c>
      <c r="B218" s="51">
        <v>177.0</v>
      </c>
      <c r="C218" s="34" t="str">
        <f>IFERROR(__xludf.DUMMYFUNCTION("if(B218&lt;=999,if(B218&lt;=99,IF(B218&lt;=9,join(,""000"",B218),join(,""00"",B218)),join(,""0"",B218)),B218)"),"0177")</f>
        <v>0177</v>
      </c>
      <c r="D218" s="52" t="s">
        <v>535</v>
      </c>
      <c r="E218" s="53" t="s">
        <v>20</v>
      </c>
      <c r="F218" s="34" t="str">
        <f t="shared" si="3"/>
        <v>#REF!</v>
      </c>
      <c r="G218" s="34" t="str">
        <f t="shared" si="4"/>
        <v>#REF!</v>
      </c>
      <c r="H218" s="54" t="s">
        <v>21</v>
      </c>
      <c r="I218" s="37" t="s">
        <v>63</v>
      </c>
      <c r="J218" s="54" t="s">
        <v>20</v>
      </c>
      <c r="K218" s="42" t="s">
        <v>95</v>
      </c>
      <c r="L218" s="42" t="s">
        <v>536</v>
      </c>
      <c r="M218" s="38" t="s">
        <v>537</v>
      </c>
      <c r="N218" s="42" t="s">
        <v>25</v>
      </c>
      <c r="O218" s="42" t="s">
        <v>55</v>
      </c>
      <c r="P218" s="43" t="s">
        <v>97</v>
      </c>
    </row>
    <row r="219">
      <c r="A219" s="33">
        <v>1248.0</v>
      </c>
      <c r="B219" s="34">
        <v>1248.0</v>
      </c>
      <c r="C219" s="34">
        <f>IFERROR(__xludf.DUMMYFUNCTION("if(B219&lt;=999,if(B219&lt;=99,IF(B219&lt;=9,join(,""000"",B219),join(,""00"",B219)),join(,""0"",B219)),B219)"),1248.0)</f>
        <v>1248</v>
      </c>
      <c r="D219" s="35" t="s">
        <v>538</v>
      </c>
      <c r="E219" s="34" t="s">
        <v>20</v>
      </c>
      <c r="F219" s="34" t="str">
        <f t="shared" si="3"/>
        <v>#REF!</v>
      </c>
      <c r="G219" s="34" t="str">
        <f t="shared" si="4"/>
        <v>#REF!</v>
      </c>
      <c r="H219" s="36" t="s">
        <v>21</v>
      </c>
      <c r="I219" s="37" t="s">
        <v>101</v>
      </c>
      <c r="J219" s="36" t="s">
        <v>35</v>
      </c>
      <c r="K219" s="42"/>
      <c r="L219" s="42"/>
      <c r="M219" s="38" t="s">
        <v>244</v>
      </c>
      <c r="N219" s="42"/>
      <c r="O219" s="42"/>
      <c r="P219" s="43" t="s">
        <v>46</v>
      </c>
    </row>
    <row r="220">
      <c r="A220" s="51">
        <v>1458.0</v>
      </c>
      <c r="B220" s="51">
        <v>1458.0</v>
      </c>
      <c r="C220" s="34">
        <f>IFERROR(__xludf.DUMMYFUNCTION("if(B220&lt;=999,if(B220&lt;=99,IF(B220&lt;=9,join(,""000"",B220),join(,""00"",B220)),join(,""0"",B220)),B220)"),1458.0)</f>
        <v>1458</v>
      </c>
      <c r="D220" s="52" t="s">
        <v>539</v>
      </c>
      <c r="E220" s="53"/>
      <c r="F220" s="34" t="str">
        <f t="shared" si="3"/>
        <v>#REF!</v>
      </c>
      <c r="G220" s="34" t="str">
        <f t="shared" si="4"/>
        <v>#REF!</v>
      </c>
      <c r="H220" s="54" t="s">
        <v>21</v>
      </c>
      <c r="I220" s="81" t="s">
        <v>117</v>
      </c>
      <c r="J220" s="54" t="s">
        <v>35</v>
      </c>
      <c r="K220" s="42"/>
      <c r="L220" s="42"/>
      <c r="M220" s="38">
        <v>64.0</v>
      </c>
      <c r="N220" s="42"/>
      <c r="O220" s="42"/>
      <c r="P220" s="43" t="s">
        <v>46</v>
      </c>
    </row>
    <row r="221">
      <c r="A221" s="51">
        <v>1396.0</v>
      </c>
      <c r="B221" s="51">
        <v>1396.0</v>
      </c>
      <c r="C221" s="34">
        <f>IFERROR(__xludf.DUMMYFUNCTION("if(B221&lt;=999,if(B221&lt;=99,IF(B221&lt;=9,join(,""000"",B221),join(,""00"",B221)),join(,""0"",B221)),B221)"),1396.0)</f>
        <v>1396</v>
      </c>
      <c r="D221" s="52" t="s">
        <v>540</v>
      </c>
      <c r="E221" s="53" t="s">
        <v>20</v>
      </c>
      <c r="F221" s="34" t="str">
        <f t="shared" si="3"/>
        <v>#REF!</v>
      </c>
      <c r="G221" s="34" t="str">
        <f t="shared" si="4"/>
        <v>#REF!</v>
      </c>
      <c r="H221" s="54" t="s">
        <v>21</v>
      </c>
      <c r="I221" s="37" t="s">
        <v>22</v>
      </c>
      <c r="J221" s="54" t="s">
        <v>35</v>
      </c>
      <c r="K221" s="42" t="s">
        <v>95</v>
      </c>
      <c r="L221" s="42" t="s">
        <v>541</v>
      </c>
      <c r="M221" s="38">
        <v>37777.0</v>
      </c>
      <c r="N221" s="42" t="s">
        <v>542</v>
      </c>
      <c r="O221" s="42" t="s">
        <v>86</v>
      </c>
      <c r="P221" s="43" t="s">
        <v>66</v>
      </c>
    </row>
    <row r="222">
      <c r="A222" s="51">
        <v>1056.0</v>
      </c>
      <c r="B222" s="51">
        <v>1056.0</v>
      </c>
      <c r="C222" s="34">
        <f>IFERROR(__xludf.DUMMYFUNCTION("if(B222&lt;=999,if(B222&lt;=99,IF(B222&lt;=9,join(,""000"",B222),join(,""00"",B222)),join(,""0"",B222)),B222)"),1056.0)</f>
        <v>1056</v>
      </c>
      <c r="D222" s="52" t="s">
        <v>543</v>
      </c>
      <c r="E222" s="53" t="s">
        <v>20</v>
      </c>
      <c r="F222" s="34" t="str">
        <f t="shared" si="3"/>
        <v>#REF!</v>
      </c>
      <c r="G222" s="34" t="str">
        <f t="shared" si="4"/>
        <v>#REF!</v>
      </c>
      <c r="H222" s="54" t="s">
        <v>21</v>
      </c>
      <c r="I222" s="37" t="s">
        <v>22</v>
      </c>
      <c r="J222" s="54" t="s">
        <v>35</v>
      </c>
      <c r="K222" s="42"/>
      <c r="L222" s="42"/>
      <c r="M222" s="38">
        <v>25.0</v>
      </c>
      <c r="N222" s="42"/>
      <c r="O222" s="42"/>
      <c r="P222" s="43" t="s">
        <v>43</v>
      </c>
    </row>
    <row r="223">
      <c r="A223" s="51">
        <v>1322.0</v>
      </c>
      <c r="B223" s="51">
        <v>1322.0</v>
      </c>
      <c r="C223" s="34">
        <f>IFERROR(__xludf.DUMMYFUNCTION("if(B223&lt;=999,if(B223&lt;=99,IF(B223&lt;=9,join(,""000"",B223),join(,""00"",B223)),join(,""0"",B223)),B223)"),1322.0)</f>
        <v>1322</v>
      </c>
      <c r="D223" s="52" t="s">
        <v>544</v>
      </c>
      <c r="E223" s="53" t="s">
        <v>35</v>
      </c>
      <c r="F223" s="34" t="str">
        <f t="shared" si="3"/>
        <v>#REF!</v>
      </c>
      <c r="G223" s="34" t="str">
        <f t="shared" si="4"/>
        <v>#REF!</v>
      </c>
      <c r="H223" s="54" t="s">
        <v>21</v>
      </c>
      <c r="I223" s="81"/>
      <c r="J223" s="54"/>
      <c r="K223" s="42"/>
      <c r="L223" s="42"/>
      <c r="M223" s="38" t="e">
        <v>#N/A</v>
      </c>
      <c r="N223" s="42"/>
      <c r="O223" s="42"/>
      <c r="P223" s="43"/>
    </row>
    <row r="224">
      <c r="A224" s="51">
        <v>465.0</v>
      </c>
      <c r="B224" s="51">
        <v>465.0</v>
      </c>
      <c r="C224" s="34" t="str">
        <f>IFERROR(__xludf.DUMMYFUNCTION("if(B224&lt;=999,if(B224&lt;=99,IF(B224&lt;=9,join(,""000"",B224),join(,""00"",B224)),join(,""0"",B224)),B224)"),"0465")</f>
        <v>0465</v>
      </c>
      <c r="D224" s="52" t="s">
        <v>545</v>
      </c>
      <c r="E224" s="53" t="s">
        <v>35</v>
      </c>
      <c r="F224" s="34" t="str">
        <f t="shared" si="3"/>
        <v>#REF!</v>
      </c>
      <c r="G224" s="34" t="str">
        <f t="shared" si="4"/>
        <v>#REF!</v>
      </c>
      <c r="H224" s="54" t="s">
        <v>21</v>
      </c>
      <c r="I224" s="81"/>
      <c r="J224" s="54"/>
      <c r="K224" s="42"/>
      <c r="L224" s="42"/>
      <c r="M224" s="38" t="e">
        <v>#N/A</v>
      </c>
      <c r="N224" s="42"/>
      <c r="O224" s="42"/>
      <c r="P224" s="43"/>
    </row>
    <row r="225">
      <c r="A225" s="51">
        <v>748.0</v>
      </c>
      <c r="B225" s="51">
        <v>748.0</v>
      </c>
      <c r="C225" s="34" t="str">
        <f>IFERROR(__xludf.DUMMYFUNCTION("if(B225&lt;=999,if(B225&lt;=99,IF(B225&lt;=9,join(,""000"",B225),join(,""00"",B225)),join(,""0"",B225)),B225)"),"0748")</f>
        <v>0748</v>
      </c>
      <c r="D225" s="52" t="s">
        <v>546</v>
      </c>
      <c r="E225" s="53" t="s">
        <v>20</v>
      </c>
      <c r="F225" s="34" t="str">
        <f t="shared" si="3"/>
        <v>#REF!</v>
      </c>
      <c r="G225" s="34" t="str">
        <f t="shared" si="4"/>
        <v>#REF!</v>
      </c>
      <c r="H225" s="54" t="s">
        <v>21</v>
      </c>
      <c r="I225" s="37" t="s">
        <v>73</v>
      </c>
      <c r="J225" s="54" t="s">
        <v>20</v>
      </c>
      <c r="K225" s="42" t="s">
        <v>95</v>
      </c>
      <c r="L225" s="42" t="s">
        <v>547</v>
      </c>
      <c r="M225" s="38">
        <v>25001.0</v>
      </c>
      <c r="N225" s="42" t="s">
        <v>25</v>
      </c>
      <c r="O225" s="42" t="s">
        <v>86</v>
      </c>
      <c r="P225" s="43" t="s">
        <v>97</v>
      </c>
    </row>
    <row r="226">
      <c r="A226" s="33">
        <v>117.0</v>
      </c>
      <c r="B226" s="34">
        <v>117.0</v>
      </c>
      <c r="C226" s="34" t="str">
        <f>IFERROR(__xludf.DUMMYFUNCTION("if(B226&lt;=999,if(B226&lt;=99,IF(B226&lt;=9,join(,""000"",B226),join(,""00"",B226)),join(,""0"",B226)),B226)"),"0117")</f>
        <v>0117</v>
      </c>
      <c r="D226" s="35" t="s">
        <v>548</v>
      </c>
      <c r="E226" s="34" t="s">
        <v>20</v>
      </c>
      <c r="F226" s="34" t="str">
        <f t="shared" si="3"/>
        <v>#REF!</v>
      </c>
      <c r="G226" s="34" t="str">
        <f t="shared" si="4"/>
        <v>#REF!</v>
      </c>
      <c r="H226" s="36" t="s">
        <v>21</v>
      </c>
      <c r="I226" s="37" t="s">
        <v>101</v>
      </c>
      <c r="J226" s="36" t="s">
        <v>20</v>
      </c>
      <c r="K226" s="42" t="s">
        <v>95</v>
      </c>
      <c r="L226" s="36" t="s">
        <v>549</v>
      </c>
      <c r="M226" s="38" t="s">
        <v>550</v>
      </c>
      <c r="N226" s="62" t="s">
        <v>25</v>
      </c>
      <c r="O226" s="62" t="s">
        <v>86</v>
      </c>
      <c r="P226" s="39"/>
    </row>
    <row r="227">
      <c r="A227" s="51">
        <v>1055.0</v>
      </c>
      <c r="B227" s="51">
        <v>1055.0</v>
      </c>
      <c r="C227" s="34">
        <f>IFERROR(__xludf.DUMMYFUNCTION("if(B227&lt;=999,if(B227&lt;=99,IF(B227&lt;=9,join(,""000"",B227),join(,""00"",B227)),join(,""0"",B227)),B227)"),1055.0)</f>
        <v>1055</v>
      </c>
      <c r="D227" s="52" t="s">
        <v>551</v>
      </c>
      <c r="E227" s="53" t="s">
        <v>20</v>
      </c>
      <c r="F227" s="34" t="str">
        <f t="shared" si="3"/>
        <v>#REF!</v>
      </c>
      <c r="G227" s="34" t="str">
        <f t="shared" si="4"/>
        <v>#REF!</v>
      </c>
      <c r="H227" s="54" t="s">
        <v>21</v>
      </c>
      <c r="I227" s="81" t="s">
        <v>99</v>
      </c>
      <c r="J227" s="54" t="s">
        <v>20</v>
      </c>
      <c r="K227" s="42" t="s">
        <v>95</v>
      </c>
      <c r="L227" s="36" t="s">
        <v>549</v>
      </c>
      <c r="M227" s="38" t="s">
        <v>550</v>
      </c>
      <c r="N227" s="62" t="s">
        <v>25</v>
      </c>
      <c r="O227" s="62" t="s">
        <v>86</v>
      </c>
      <c r="P227" s="43"/>
    </row>
    <row r="228">
      <c r="A228" s="51">
        <v>1282.0</v>
      </c>
      <c r="B228" s="51">
        <v>1282.0</v>
      </c>
      <c r="C228" s="34">
        <f>IFERROR(__xludf.DUMMYFUNCTION("if(B228&lt;=999,if(B228&lt;=99,IF(B228&lt;=9,join(,""000"",B228),join(,""00"",B228)),join(,""0"",B228)),B228)"),1282.0)</f>
        <v>1282</v>
      </c>
      <c r="D228" s="52" t="s">
        <v>552</v>
      </c>
      <c r="E228" s="53" t="s">
        <v>20</v>
      </c>
      <c r="F228" s="34" t="str">
        <f t="shared" si="3"/>
        <v>#REF!</v>
      </c>
      <c r="G228" s="34" t="str">
        <f t="shared" si="4"/>
        <v>#REF!</v>
      </c>
      <c r="H228" s="54" t="s">
        <v>21</v>
      </c>
      <c r="I228" s="81" t="s">
        <v>101</v>
      </c>
      <c r="J228" s="54" t="s">
        <v>35</v>
      </c>
      <c r="K228" s="42"/>
      <c r="L228" s="42"/>
      <c r="M228" s="38">
        <v>80.0</v>
      </c>
      <c r="N228" s="42"/>
      <c r="O228" s="42"/>
      <c r="P228" s="43" t="s">
        <v>553</v>
      </c>
    </row>
    <row r="229">
      <c r="A229" s="51">
        <v>1149.0</v>
      </c>
      <c r="B229" s="51">
        <v>1149.0</v>
      </c>
      <c r="C229" s="34">
        <f>IFERROR(__xludf.DUMMYFUNCTION("if(B229&lt;=999,if(B229&lt;=99,IF(B229&lt;=9,join(,""000"",B229),join(,""00"",B229)),join(,""0"",B229)),B229)"),1149.0)</f>
        <v>1149</v>
      </c>
      <c r="D229" s="52" t="s">
        <v>554</v>
      </c>
      <c r="E229" s="53" t="s">
        <v>35</v>
      </c>
      <c r="F229" s="34" t="str">
        <f t="shared" si="3"/>
        <v>#REF!</v>
      </c>
      <c r="G229" s="34" t="str">
        <f t="shared" si="4"/>
        <v>#REF!</v>
      </c>
      <c r="H229" s="54" t="s">
        <v>21</v>
      </c>
      <c r="I229" s="81"/>
      <c r="J229" s="54"/>
      <c r="K229" s="42"/>
      <c r="L229" s="42"/>
      <c r="M229" s="38" t="e">
        <v>#N/A</v>
      </c>
      <c r="N229" s="42"/>
      <c r="O229" s="42"/>
      <c r="P229" s="43"/>
    </row>
    <row r="230">
      <c r="A230" s="51">
        <v>1229.0</v>
      </c>
      <c r="B230" s="51">
        <v>1229.0</v>
      </c>
      <c r="C230" s="34">
        <f>IFERROR(__xludf.DUMMYFUNCTION("if(B230&lt;=999,if(B230&lt;=99,IF(B230&lt;=9,join(,""000"",B230),join(,""00"",B230)),join(,""0"",B230)),B230)"),1229.0)</f>
        <v>1229</v>
      </c>
      <c r="D230" s="52" t="s">
        <v>555</v>
      </c>
      <c r="E230" s="53" t="s">
        <v>20</v>
      </c>
      <c r="F230" s="34" t="str">
        <f t="shared" si="3"/>
        <v>#REF!</v>
      </c>
      <c r="G230" s="34" t="str">
        <f t="shared" si="4"/>
        <v>#REF!</v>
      </c>
      <c r="H230" s="54" t="s">
        <v>21</v>
      </c>
      <c r="I230" s="81" t="s">
        <v>73</v>
      </c>
      <c r="J230" s="54" t="s">
        <v>35</v>
      </c>
      <c r="K230" s="36" t="s">
        <v>95</v>
      </c>
      <c r="L230" s="36" t="s">
        <v>556</v>
      </c>
      <c r="M230" s="38">
        <v>80.0</v>
      </c>
      <c r="N230" s="82" t="s">
        <v>25</v>
      </c>
      <c r="O230" s="36" t="s">
        <v>86</v>
      </c>
      <c r="P230" s="36" t="s">
        <v>557</v>
      </c>
    </row>
    <row r="231">
      <c r="A231" s="51">
        <v>834.0</v>
      </c>
      <c r="B231" s="51">
        <v>834.0</v>
      </c>
      <c r="C231" s="34" t="str">
        <f>IFERROR(__xludf.DUMMYFUNCTION("if(B231&lt;=999,if(B231&lt;=99,IF(B231&lt;=9,join(,""000"",B231),join(,""00"",B231)),join(,""0"",B231)),B231)"),"0834")</f>
        <v>0834</v>
      </c>
      <c r="D231" s="52" t="s">
        <v>558</v>
      </c>
      <c r="E231" s="53" t="s">
        <v>20</v>
      </c>
      <c r="F231" s="34" t="str">
        <f t="shared" si="3"/>
        <v>#REF!</v>
      </c>
      <c r="G231" s="34" t="str">
        <f t="shared" si="4"/>
        <v>#REF!</v>
      </c>
      <c r="H231" s="54" t="s">
        <v>21</v>
      </c>
      <c r="I231" s="37" t="s">
        <v>73</v>
      </c>
      <c r="J231" s="54" t="s">
        <v>35</v>
      </c>
      <c r="K231" s="36" t="s">
        <v>559</v>
      </c>
      <c r="L231" s="36" t="s">
        <v>556</v>
      </c>
      <c r="M231" s="38">
        <v>80.0</v>
      </c>
      <c r="N231" s="36" t="s">
        <v>25</v>
      </c>
      <c r="O231" s="36" t="s">
        <v>86</v>
      </c>
      <c r="P231" s="36" t="s">
        <v>557</v>
      </c>
    </row>
    <row r="232">
      <c r="A232" s="55">
        <v>1053.0</v>
      </c>
      <c r="B232" s="55">
        <v>1053.0</v>
      </c>
      <c r="C232" s="45">
        <f>IFERROR(__xludf.DUMMYFUNCTION("if(B232&lt;=999,if(B232&lt;=99,IF(B232&lt;=9,join(,""000"",B232),join(,""00"",B232)),join(,""0"",B232)),B232)"),1053.0)</f>
        <v>1053</v>
      </c>
      <c r="D232" s="56" t="s">
        <v>560</v>
      </c>
      <c r="E232" s="55" t="s">
        <v>20</v>
      </c>
      <c r="F232" s="45" t="str">
        <f t="shared" si="3"/>
        <v>#REF!</v>
      </c>
      <c r="G232" s="45" t="str">
        <f t="shared" si="4"/>
        <v>#REF!</v>
      </c>
      <c r="H232" s="57" t="s">
        <v>21</v>
      </c>
      <c r="I232" s="83" t="s">
        <v>34</v>
      </c>
      <c r="J232" s="57" t="s">
        <v>20</v>
      </c>
      <c r="K232" s="60"/>
      <c r="L232" s="60" t="s">
        <v>561</v>
      </c>
      <c r="M232" s="49">
        <v>8.0</v>
      </c>
      <c r="N232" s="60" t="s">
        <v>25</v>
      </c>
      <c r="O232" s="60" t="s">
        <v>562</v>
      </c>
      <c r="P232" s="84"/>
    </row>
    <row r="233">
      <c r="A233" s="55">
        <v>1377.0</v>
      </c>
      <c r="B233" s="55">
        <v>1377.0</v>
      </c>
      <c r="C233" s="45">
        <f>IFERROR(__xludf.DUMMYFUNCTION("if(B233&lt;=999,if(B233&lt;=99,IF(B233&lt;=9,join(,""000"",B233),join(,""00"",B233)),join(,""0"",B233)),B233)"),1377.0)</f>
        <v>1377</v>
      </c>
      <c r="D233" s="56" t="s">
        <v>563</v>
      </c>
      <c r="E233" s="55" t="s">
        <v>20</v>
      </c>
      <c r="F233" s="45" t="str">
        <f t="shared" si="3"/>
        <v>#REF!</v>
      </c>
      <c r="G233" s="45" t="str">
        <f t="shared" si="4"/>
        <v>#REF!</v>
      </c>
      <c r="H233" s="57" t="s">
        <v>21</v>
      </c>
      <c r="I233" s="48" t="s">
        <v>77</v>
      </c>
      <c r="J233" s="57" t="s">
        <v>20</v>
      </c>
      <c r="K233" s="60" t="s">
        <v>95</v>
      </c>
      <c r="L233" s="60" t="s">
        <v>564</v>
      </c>
      <c r="M233" s="49">
        <v>80.0</v>
      </c>
      <c r="N233" s="60" t="s">
        <v>25</v>
      </c>
      <c r="O233" s="60" t="s">
        <v>55</v>
      </c>
      <c r="P233" s="61" t="s">
        <v>97</v>
      </c>
    </row>
    <row r="234">
      <c r="A234" s="51">
        <v>1234.0</v>
      </c>
      <c r="B234" s="51">
        <v>1234.0</v>
      </c>
      <c r="C234" s="34">
        <f>IFERROR(__xludf.DUMMYFUNCTION("if(B234&lt;=999,if(B234&lt;=99,IF(B234&lt;=9,join(,""000"",B234),join(,""00"",B234)),join(,""0"",B234)),B234)"),1234.0)</f>
        <v>1234</v>
      </c>
      <c r="D234" s="52" t="s">
        <v>565</v>
      </c>
      <c r="E234" s="53" t="s">
        <v>20</v>
      </c>
      <c r="F234" s="34" t="str">
        <f t="shared" si="3"/>
        <v>#REF!</v>
      </c>
      <c r="G234" s="34" t="str">
        <f t="shared" si="4"/>
        <v>#REF!</v>
      </c>
      <c r="H234" s="54" t="s">
        <v>21</v>
      </c>
      <c r="I234" s="37" t="s">
        <v>22</v>
      </c>
      <c r="J234" s="54" t="s">
        <v>20</v>
      </c>
      <c r="K234" s="36" t="s">
        <v>95</v>
      </c>
      <c r="L234" s="66" t="s">
        <v>566</v>
      </c>
      <c r="M234" s="38" t="s">
        <v>567</v>
      </c>
      <c r="N234" s="36" t="s">
        <v>25</v>
      </c>
      <c r="O234" s="36" t="s">
        <v>55</v>
      </c>
      <c r="P234" s="36" t="s">
        <v>97</v>
      </c>
    </row>
    <row r="235">
      <c r="A235" s="33">
        <v>1076.0</v>
      </c>
      <c r="B235" s="34">
        <v>1076.0</v>
      </c>
      <c r="C235" s="34">
        <f>IFERROR(__xludf.DUMMYFUNCTION("if(B235&lt;=999,if(B235&lt;=99,IF(B235&lt;=9,join(,""000"",B235),join(,""00"",B235)),join(,""0"",B235)),B235)"),1076.0)</f>
        <v>1076</v>
      </c>
      <c r="D235" s="35" t="s">
        <v>568</v>
      </c>
      <c r="E235" s="34" t="s">
        <v>20</v>
      </c>
      <c r="F235" s="34" t="str">
        <f t="shared" si="3"/>
        <v>#REF!</v>
      </c>
      <c r="G235" s="34" t="str">
        <f t="shared" si="4"/>
        <v>#REF!</v>
      </c>
      <c r="H235" s="36" t="s">
        <v>21</v>
      </c>
      <c r="I235" s="37" t="s">
        <v>101</v>
      </c>
      <c r="J235" s="36" t="s">
        <v>20</v>
      </c>
      <c r="K235" s="36" t="s">
        <v>95</v>
      </c>
      <c r="L235" s="38" t="s">
        <v>419</v>
      </c>
      <c r="M235" s="38">
        <v>6036.0</v>
      </c>
      <c r="N235" s="38" t="s">
        <v>25</v>
      </c>
      <c r="O235" s="38" t="s">
        <v>420</v>
      </c>
      <c r="P235" s="39" t="s">
        <v>82</v>
      </c>
    </row>
    <row r="236">
      <c r="A236" s="51">
        <v>273.0</v>
      </c>
      <c r="B236" s="51">
        <v>273.0</v>
      </c>
      <c r="C236" s="34" t="str">
        <f>IFERROR(__xludf.DUMMYFUNCTION("if(B236&lt;=999,if(B236&lt;=99,IF(B236&lt;=9,join(,""000"",B236),join(,""00"",B236)),join(,""0"",B236)),B236)"),"0273")</f>
        <v>0273</v>
      </c>
      <c r="D236" s="52" t="s">
        <v>569</v>
      </c>
      <c r="E236" s="53" t="s">
        <v>20</v>
      </c>
      <c r="F236" s="34" t="str">
        <f t="shared" si="3"/>
        <v>#REF!</v>
      </c>
      <c r="G236" s="34" t="str">
        <f t="shared" si="4"/>
        <v>#REF!</v>
      </c>
      <c r="H236" s="54" t="s">
        <v>21</v>
      </c>
      <c r="I236" s="37" t="s">
        <v>101</v>
      </c>
      <c r="J236" s="54" t="s">
        <v>20</v>
      </c>
      <c r="K236" s="36" t="s">
        <v>95</v>
      </c>
      <c r="L236" s="38" t="s">
        <v>419</v>
      </c>
      <c r="M236" s="38">
        <v>6036.0</v>
      </c>
      <c r="N236" s="38" t="s">
        <v>25</v>
      </c>
      <c r="O236" s="38" t="s">
        <v>420</v>
      </c>
      <c r="P236" s="43" t="s">
        <v>82</v>
      </c>
    </row>
    <row r="237">
      <c r="A237" s="51">
        <v>1217.0</v>
      </c>
      <c r="B237" s="51">
        <v>1217.0</v>
      </c>
      <c r="C237" s="34">
        <f>IFERROR(__xludf.DUMMYFUNCTION("if(B237&lt;=999,if(B237&lt;=99,IF(B237&lt;=9,join(,""000"",B237),join(,""00"",B237)),join(,""0"",B237)),B237)"),1217.0)</f>
        <v>1217</v>
      </c>
      <c r="D237" s="52" t="s">
        <v>570</v>
      </c>
      <c r="E237" s="53" t="s">
        <v>20</v>
      </c>
      <c r="F237" s="34" t="str">
        <f t="shared" si="3"/>
        <v>#REF!</v>
      </c>
      <c r="G237" s="34" t="str">
        <f t="shared" si="4"/>
        <v>#REF!</v>
      </c>
      <c r="H237" s="54" t="s">
        <v>21</v>
      </c>
      <c r="I237" s="37" t="s">
        <v>77</v>
      </c>
      <c r="J237" s="54" t="s">
        <v>20</v>
      </c>
      <c r="K237" s="42" t="s">
        <v>360</v>
      </c>
      <c r="L237" s="42" t="s">
        <v>571</v>
      </c>
      <c r="M237" s="38" t="s">
        <v>572</v>
      </c>
      <c r="N237" s="42" t="s">
        <v>25</v>
      </c>
      <c r="O237" s="42" t="s">
        <v>55</v>
      </c>
      <c r="P237" s="43"/>
    </row>
    <row r="238">
      <c r="A238" s="51">
        <v>397.0</v>
      </c>
      <c r="B238" s="51">
        <v>397.0</v>
      </c>
      <c r="C238" s="34" t="str">
        <f>IFERROR(__xludf.DUMMYFUNCTION("if(B238&lt;=999,if(B238&lt;=99,IF(B238&lt;=9,join(,""000"",B238),join(,""00"",B238)),join(,""0"",B238)),B238)"),"0397")</f>
        <v>0397</v>
      </c>
      <c r="D238" s="52" t="s">
        <v>573</v>
      </c>
      <c r="E238" s="53" t="s">
        <v>20</v>
      </c>
      <c r="F238" s="34" t="str">
        <f t="shared" si="3"/>
        <v>#REF!</v>
      </c>
      <c r="G238" s="34" t="str">
        <f t="shared" si="4"/>
        <v>#REF!</v>
      </c>
      <c r="H238" s="54" t="s">
        <v>21</v>
      </c>
      <c r="I238" s="37" t="s">
        <v>22</v>
      </c>
      <c r="J238" s="54" t="s">
        <v>20</v>
      </c>
      <c r="K238" s="42"/>
      <c r="L238" s="42"/>
      <c r="M238" s="38" t="s">
        <v>244</v>
      </c>
      <c r="N238" s="42"/>
      <c r="O238" s="42"/>
      <c r="P238" s="43" t="s">
        <v>574</v>
      </c>
    </row>
    <row r="239">
      <c r="A239" s="51">
        <v>1291.0</v>
      </c>
      <c r="B239" s="51">
        <v>1291.0</v>
      </c>
      <c r="C239" s="34">
        <f>IFERROR(__xludf.DUMMYFUNCTION("if(B239&lt;=999,if(B239&lt;=99,IF(B239&lt;=9,join(,""000"",B239),join(,""00"",B239)),join(,""0"",B239)),B239)"),1291.0)</f>
        <v>1291</v>
      </c>
      <c r="D239" s="52" t="s">
        <v>575</v>
      </c>
      <c r="E239" s="53" t="s">
        <v>20</v>
      </c>
      <c r="F239" s="34" t="str">
        <f t="shared" si="3"/>
        <v>#REF!</v>
      </c>
      <c r="G239" s="34" t="str">
        <f t="shared" si="4"/>
        <v>#REF!</v>
      </c>
      <c r="H239" s="54" t="s">
        <v>21</v>
      </c>
      <c r="I239" s="37" t="s">
        <v>99</v>
      </c>
      <c r="J239" s="54" t="s">
        <v>35</v>
      </c>
      <c r="K239" s="42"/>
      <c r="L239" s="42"/>
      <c r="M239" s="38">
        <v>64.0</v>
      </c>
      <c r="N239" s="42"/>
      <c r="O239" s="42"/>
      <c r="P239" s="43" t="s">
        <v>576</v>
      </c>
    </row>
    <row r="240">
      <c r="A240" s="51">
        <v>609.0</v>
      </c>
      <c r="B240" s="51">
        <v>609.0</v>
      </c>
      <c r="C240" s="34" t="str">
        <f>IFERROR(__xludf.DUMMYFUNCTION("if(B240&lt;=999,if(B240&lt;=99,IF(B240&lt;=9,join(,""000"",B240),join(,""00"",B240)),join(,""0"",B240)),B240)"),"0609")</f>
        <v>0609</v>
      </c>
      <c r="D240" s="52" t="s">
        <v>577</v>
      </c>
      <c r="E240" s="53" t="s">
        <v>20</v>
      </c>
      <c r="F240" s="34" t="str">
        <f t="shared" si="3"/>
        <v>#REF!</v>
      </c>
      <c r="G240" s="34" t="str">
        <f t="shared" si="4"/>
        <v>#REF!</v>
      </c>
      <c r="H240" s="54" t="s">
        <v>21</v>
      </c>
      <c r="I240" s="37" t="s">
        <v>22</v>
      </c>
      <c r="J240" s="54" t="s">
        <v>20</v>
      </c>
      <c r="K240" s="42" t="s">
        <v>360</v>
      </c>
      <c r="L240" s="42" t="s">
        <v>578</v>
      </c>
      <c r="M240" s="38">
        <v>16.0</v>
      </c>
      <c r="N240" s="42" t="s">
        <v>25</v>
      </c>
      <c r="O240" s="42" t="s">
        <v>55</v>
      </c>
      <c r="P240" s="85"/>
    </row>
    <row r="241">
      <c r="A241" s="33">
        <v>1315.0</v>
      </c>
      <c r="B241" s="34">
        <v>1315.0</v>
      </c>
      <c r="C241" s="34">
        <f>IFERROR(__xludf.DUMMYFUNCTION("if(B241&lt;=999,if(B241&lt;=99,IF(B241&lt;=9,join(,""000"",B241),join(,""00"",B241)),join(,""0"",B241)),B241)"),1315.0)</f>
        <v>1315</v>
      </c>
      <c r="D241" s="35" t="s">
        <v>579</v>
      </c>
      <c r="E241" s="34" t="s">
        <v>20</v>
      </c>
      <c r="F241" s="34" t="str">
        <f t="shared" si="3"/>
        <v>#REF!</v>
      </c>
      <c r="G241" s="34" t="str">
        <f t="shared" si="4"/>
        <v>#REF!</v>
      </c>
      <c r="H241" s="36" t="s">
        <v>21</v>
      </c>
      <c r="I241" s="37" t="s">
        <v>77</v>
      </c>
      <c r="J241" s="36" t="s">
        <v>20</v>
      </c>
      <c r="K241" s="42" t="s">
        <v>360</v>
      </c>
      <c r="L241" s="42" t="s">
        <v>578</v>
      </c>
      <c r="M241" s="38" t="s">
        <v>580</v>
      </c>
      <c r="N241" s="42" t="s">
        <v>25</v>
      </c>
      <c r="O241" s="42" t="s">
        <v>55</v>
      </c>
      <c r="P241" s="43" t="s">
        <v>70</v>
      </c>
    </row>
    <row r="242">
      <c r="A242" s="51">
        <v>1277.0</v>
      </c>
      <c r="B242" s="51">
        <v>1277.0</v>
      </c>
      <c r="C242" s="34">
        <f>IFERROR(__xludf.DUMMYFUNCTION("if(B242&lt;=999,if(B242&lt;=99,IF(B242&lt;=9,join(,""000"",B242),join(,""00"",B242)),join(,""0"",B242)),B242)"),1277.0)</f>
        <v>1277</v>
      </c>
      <c r="D242" s="52" t="s">
        <v>581</v>
      </c>
      <c r="E242" s="53" t="s">
        <v>20</v>
      </c>
      <c r="F242" s="34" t="str">
        <f t="shared" si="3"/>
        <v>#REF!</v>
      </c>
      <c r="G242" s="34" t="str">
        <f t="shared" si="4"/>
        <v>#REF!</v>
      </c>
      <c r="H242" s="54" t="s">
        <v>21</v>
      </c>
      <c r="I242" s="81" t="s">
        <v>77</v>
      </c>
      <c r="J242" s="54" t="s">
        <v>35</v>
      </c>
      <c r="K242" s="42"/>
      <c r="L242" s="42"/>
      <c r="M242" s="38" t="s">
        <v>334</v>
      </c>
      <c r="N242" s="42"/>
      <c r="O242" s="42"/>
      <c r="P242" s="43" t="s">
        <v>70</v>
      </c>
    </row>
    <row r="243">
      <c r="A243" s="51">
        <v>1065.0</v>
      </c>
      <c r="B243" s="51">
        <v>1065.0</v>
      </c>
      <c r="C243" s="34">
        <f>IFERROR(__xludf.DUMMYFUNCTION("if(B243&lt;=999,if(B243&lt;=99,IF(B243&lt;=9,join(,""000"",B243),join(,""00"",B243)),join(,""0"",B243)),B243)"),1065.0)</f>
        <v>1065</v>
      </c>
      <c r="D243" s="52" t="s">
        <v>582</v>
      </c>
      <c r="E243" s="53" t="s">
        <v>20</v>
      </c>
      <c r="F243" s="34" t="str">
        <f t="shared" si="3"/>
        <v>#REF!</v>
      </c>
      <c r="G243" s="34" t="str">
        <f t="shared" si="4"/>
        <v>#REF!</v>
      </c>
      <c r="H243" s="54" t="s">
        <v>21</v>
      </c>
      <c r="I243" s="81" t="s">
        <v>77</v>
      </c>
      <c r="J243" s="54" t="s">
        <v>20</v>
      </c>
      <c r="K243" s="42" t="s">
        <v>583</v>
      </c>
      <c r="L243" s="42" t="s">
        <v>584</v>
      </c>
      <c r="M243" s="38" t="s">
        <v>334</v>
      </c>
      <c r="N243" s="42" t="s">
        <v>25</v>
      </c>
      <c r="O243" s="42" t="s">
        <v>585</v>
      </c>
      <c r="P243" s="43"/>
    </row>
    <row r="244">
      <c r="A244" s="33">
        <v>1276.0</v>
      </c>
      <c r="B244" s="34">
        <v>1276.0</v>
      </c>
      <c r="C244" s="34">
        <f>IFERROR(__xludf.DUMMYFUNCTION("if(B244&lt;=999,if(B244&lt;=99,IF(B244&lt;=9,join(,""000"",B244),join(,""00"",B244)),join(,""0"",B244)),B244)"),1276.0)</f>
        <v>1276</v>
      </c>
      <c r="D244" s="35" t="s">
        <v>586</v>
      </c>
      <c r="E244" s="34" t="s">
        <v>20</v>
      </c>
      <c r="F244" s="34" t="str">
        <f t="shared" si="3"/>
        <v>#REF!</v>
      </c>
      <c r="G244" s="34" t="str">
        <f t="shared" si="4"/>
        <v>#REF!</v>
      </c>
      <c r="H244" s="36" t="s">
        <v>21</v>
      </c>
      <c r="I244" s="37" t="s">
        <v>77</v>
      </c>
      <c r="J244" s="36" t="s">
        <v>20</v>
      </c>
      <c r="K244" s="36" t="s">
        <v>48</v>
      </c>
      <c r="L244" s="38" t="s">
        <v>584</v>
      </c>
      <c r="M244" s="38" t="s">
        <v>334</v>
      </c>
      <c r="N244" s="38" t="s">
        <v>587</v>
      </c>
      <c r="O244" s="38" t="s">
        <v>588</v>
      </c>
      <c r="P244" s="39" t="s">
        <v>589</v>
      </c>
    </row>
    <row r="245">
      <c r="A245" s="51">
        <v>1224.0</v>
      </c>
      <c r="B245" s="51">
        <v>1224.0</v>
      </c>
      <c r="C245" s="34">
        <f>IFERROR(__xludf.DUMMYFUNCTION("if(B245&lt;=999,if(B245&lt;=99,IF(B245&lt;=9,join(,""000"",B245),join(,""00"",B245)),join(,""0"",B245)),B245)"),1224.0)</f>
        <v>1224</v>
      </c>
      <c r="D245" s="52" t="s">
        <v>590</v>
      </c>
      <c r="E245" s="53" t="s">
        <v>35</v>
      </c>
      <c r="F245" s="34" t="str">
        <f t="shared" si="3"/>
        <v>#REF!</v>
      </c>
      <c r="G245" s="34" t="str">
        <f t="shared" si="4"/>
        <v>#REF!</v>
      </c>
      <c r="H245" s="54" t="s">
        <v>21</v>
      </c>
      <c r="I245" s="81"/>
      <c r="J245" s="54"/>
      <c r="K245" s="42"/>
      <c r="L245" s="42"/>
      <c r="M245" s="38" t="e">
        <v>#N/A</v>
      </c>
      <c r="N245" s="42"/>
      <c r="O245" s="42"/>
      <c r="P245" s="43"/>
    </row>
    <row r="246">
      <c r="A246" s="51">
        <v>1114.0</v>
      </c>
      <c r="B246" s="51">
        <v>1114.0</v>
      </c>
      <c r="C246" s="34">
        <f>IFERROR(__xludf.DUMMYFUNCTION("if(B246&lt;=999,if(B246&lt;=99,IF(B246&lt;=9,join(,""000"",B246),join(,""00"",B246)),join(,""0"",B246)),B246)"),1114.0)</f>
        <v>1114</v>
      </c>
      <c r="D246" s="52" t="s">
        <v>591</v>
      </c>
      <c r="E246" s="53" t="s">
        <v>20</v>
      </c>
      <c r="F246" s="34" t="str">
        <f t="shared" si="3"/>
        <v>#REF!</v>
      </c>
      <c r="G246" s="34" t="str">
        <f t="shared" si="4"/>
        <v>#REF!</v>
      </c>
      <c r="H246" s="54" t="s">
        <v>21</v>
      </c>
      <c r="I246" s="37" t="s">
        <v>77</v>
      </c>
      <c r="J246" s="54" t="s">
        <v>35</v>
      </c>
      <c r="K246" s="42" t="s">
        <v>95</v>
      </c>
      <c r="L246" s="36" t="s">
        <v>592</v>
      </c>
      <c r="M246" s="38" t="s">
        <v>593</v>
      </c>
      <c r="N246" s="62" t="s">
        <v>594</v>
      </c>
      <c r="O246" s="62" t="s">
        <v>595</v>
      </c>
      <c r="P246" s="43" t="s">
        <v>596</v>
      </c>
    </row>
    <row r="247">
      <c r="A247" s="51">
        <v>1288.0</v>
      </c>
      <c r="B247" s="51">
        <v>1288.0</v>
      </c>
      <c r="C247" s="34">
        <f>IFERROR(__xludf.DUMMYFUNCTION("if(B247&lt;=999,if(B247&lt;=99,IF(B247&lt;=9,join(,""000"",B247),join(,""00"",B247)),join(,""0"",B247)),B247)"),1288.0)</f>
        <v>1288</v>
      </c>
      <c r="D247" s="52" t="s">
        <v>597</v>
      </c>
      <c r="E247" s="53" t="s">
        <v>20</v>
      </c>
      <c r="F247" s="34" t="str">
        <f t="shared" si="3"/>
        <v>#REF!</v>
      </c>
      <c r="G247" s="34" t="str">
        <f t="shared" si="4"/>
        <v>#REF!</v>
      </c>
      <c r="H247" s="54" t="s">
        <v>21</v>
      </c>
      <c r="I247" s="37" t="s">
        <v>22</v>
      </c>
      <c r="J247" s="54" t="s">
        <v>35</v>
      </c>
      <c r="K247" s="42"/>
      <c r="L247" s="42"/>
      <c r="M247" s="38">
        <v>7000.0</v>
      </c>
      <c r="N247" s="42"/>
      <c r="O247" s="42"/>
      <c r="P247" s="43" t="s">
        <v>598</v>
      </c>
    </row>
    <row r="248">
      <c r="A248" s="55">
        <v>915.0</v>
      </c>
      <c r="B248" s="55">
        <v>915.0</v>
      </c>
      <c r="C248" s="45" t="str">
        <f>IFERROR(__xludf.DUMMYFUNCTION("if(B248&lt;=999,if(B248&lt;=99,IF(B248&lt;=9,join(,""000"",B248),join(,""00"",B248)),join(,""0"",B248)),B248)"),"0915")</f>
        <v>0915</v>
      </c>
      <c r="D248" s="56" t="s">
        <v>599</v>
      </c>
      <c r="E248" s="55" t="s">
        <v>20</v>
      </c>
      <c r="F248" s="45" t="str">
        <f t="shared" si="3"/>
        <v>#REF!</v>
      </c>
      <c r="G248" s="45" t="str">
        <f t="shared" si="4"/>
        <v>#REF!</v>
      </c>
      <c r="H248" s="57" t="s">
        <v>21</v>
      </c>
      <c r="I248" s="48" t="s">
        <v>22</v>
      </c>
      <c r="J248" s="57" t="s">
        <v>20</v>
      </c>
      <c r="K248" s="60" t="s">
        <v>95</v>
      </c>
      <c r="L248" s="60" t="s">
        <v>600</v>
      </c>
      <c r="M248" s="49">
        <v>5555.0</v>
      </c>
      <c r="N248" s="60" t="s">
        <v>25</v>
      </c>
      <c r="O248" s="60" t="s">
        <v>55</v>
      </c>
      <c r="P248" s="61" t="s">
        <v>601</v>
      </c>
    </row>
    <row r="249">
      <c r="A249" s="33">
        <v>84.0</v>
      </c>
      <c r="B249" s="34">
        <v>84.0</v>
      </c>
      <c r="C249" s="34" t="str">
        <f>IFERROR(__xludf.DUMMYFUNCTION("if(B249&lt;=999,if(B249&lt;=99,IF(B249&lt;=9,join(,""000"",B249),join(,""00"",B249)),join(,""0"",B249)),B249)"),"0084")</f>
        <v>0084</v>
      </c>
      <c r="D249" s="35" t="s">
        <v>602</v>
      </c>
      <c r="E249" s="34" t="s">
        <v>20</v>
      </c>
      <c r="F249" s="34" t="str">
        <f t="shared" si="3"/>
        <v>#REF!</v>
      </c>
      <c r="G249" s="34" t="str">
        <f t="shared" si="4"/>
        <v>#REF!</v>
      </c>
      <c r="H249" s="36" t="s">
        <v>21</v>
      </c>
      <c r="I249" s="37" t="s">
        <v>117</v>
      </c>
      <c r="J249" s="36" t="s">
        <v>20</v>
      </c>
      <c r="K249" s="38" t="s">
        <v>603</v>
      </c>
      <c r="L249" s="38" t="s">
        <v>604</v>
      </c>
      <c r="M249" s="38">
        <v>80.0</v>
      </c>
      <c r="N249" s="38" t="s">
        <v>605</v>
      </c>
      <c r="O249" s="58" t="s">
        <v>606</v>
      </c>
      <c r="P249" s="39"/>
    </row>
    <row r="250">
      <c r="A250" s="55">
        <v>225.0</v>
      </c>
      <c r="B250" s="55">
        <v>225.0</v>
      </c>
      <c r="C250" s="45" t="str">
        <f>IFERROR(__xludf.DUMMYFUNCTION("if(B250&lt;=999,if(B250&lt;=99,IF(B250&lt;=9,join(,""000"",B250),join(,""00"",B250)),join(,""0"",B250)),B250)"),"0225")</f>
        <v>0225</v>
      </c>
      <c r="D250" s="56" t="s">
        <v>607</v>
      </c>
      <c r="E250" s="55" t="s">
        <v>20</v>
      </c>
      <c r="F250" s="45" t="str">
        <f t="shared" si="3"/>
        <v>#REF!</v>
      </c>
      <c r="G250" s="45" t="str">
        <f t="shared" si="4"/>
        <v>#REF!</v>
      </c>
      <c r="H250" s="57" t="s">
        <v>21</v>
      </c>
      <c r="I250" s="48" t="s">
        <v>22</v>
      </c>
      <c r="J250" s="57" t="s">
        <v>20</v>
      </c>
      <c r="K250" s="38" t="s">
        <v>603</v>
      </c>
      <c r="L250" s="47" t="s">
        <v>608</v>
      </c>
      <c r="M250" s="49">
        <v>9090.0</v>
      </c>
      <c r="N250" s="62" t="s">
        <v>609</v>
      </c>
      <c r="O250" s="62" t="s">
        <v>606</v>
      </c>
      <c r="P250" s="84" t="s">
        <v>87</v>
      </c>
    </row>
    <row r="251">
      <c r="A251" s="51">
        <v>1200.0</v>
      </c>
      <c r="B251" s="51">
        <v>1200.0</v>
      </c>
      <c r="C251" s="34">
        <f>IFERROR(__xludf.DUMMYFUNCTION("if(B251&lt;=999,if(B251&lt;=99,IF(B251&lt;=9,join(,""000"",B251),join(,""00"",B251)),join(,""0"",B251)),B251)"),1200.0)</f>
        <v>1200</v>
      </c>
      <c r="D251" s="52" t="s">
        <v>610</v>
      </c>
      <c r="E251" s="53" t="s">
        <v>20</v>
      </c>
      <c r="F251" s="34" t="str">
        <f t="shared" si="3"/>
        <v>#REF!</v>
      </c>
      <c r="G251" s="34" t="str">
        <f t="shared" si="4"/>
        <v>#REF!</v>
      </c>
      <c r="H251" s="54" t="s">
        <v>21</v>
      </c>
      <c r="I251" s="81" t="s">
        <v>22</v>
      </c>
      <c r="J251" s="54" t="s">
        <v>35</v>
      </c>
      <c r="K251" s="42"/>
      <c r="L251" s="42"/>
      <c r="M251" s="38" t="e">
        <v>#N/A</v>
      </c>
      <c r="N251" s="42"/>
      <c r="O251" s="42"/>
      <c r="P251" s="43" t="s">
        <v>43</v>
      </c>
    </row>
    <row r="252">
      <c r="A252" s="55">
        <v>1075.0</v>
      </c>
      <c r="B252" s="55">
        <v>1075.0</v>
      </c>
      <c r="C252" s="45">
        <f>IFERROR(__xludf.DUMMYFUNCTION("if(B252&lt;=999,if(B252&lt;=99,IF(B252&lt;=9,join(,""000"",B252),join(,""00"",B252)),join(,""0"",B252)),B252)"),1075.0)</f>
        <v>1075</v>
      </c>
      <c r="D252" s="56" t="s">
        <v>611</v>
      </c>
      <c r="E252" s="55" t="s">
        <v>20</v>
      </c>
      <c r="F252" s="45" t="str">
        <f t="shared" si="3"/>
        <v>#REF!</v>
      </c>
      <c r="G252" s="45" t="str">
        <f t="shared" si="4"/>
        <v>#REF!</v>
      </c>
      <c r="H252" s="57" t="s">
        <v>21</v>
      </c>
      <c r="I252" s="83" t="s">
        <v>34</v>
      </c>
      <c r="J252" s="57" t="s">
        <v>35</v>
      </c>
      <c r="K252" s="60"/>
      <c r="L252" s="86" t="s">
        <v>612</v>
      </c>
      <c r="M252" s="49" t="s">
        <v>613</v>
      </c>
      <c r="N252" s="60"/>
      <c r="O252" s="60"/>
      <c r="P252" s="61" t="s">
        <v>614</v>
      </c>
    </row>
    <row r="253">
      <c r="A253" s="51">
        <v>1336.0</v>
      </c>
      <c r="B253" s="51">
        <v>1336.0</v>
      </c>
      <c r="C253" s="34">
        <f>IFERROR(__xludf.DUMMYFUNCTION("if(B253&lt;=999,if(B253&lt;=99,IF(B253&lt;=9,join(,""000"",B253),join(,""00"",B253)),join(,""0"",B253)),B253)"),1336.0)</f>
        <v>1336</v>
      </c>
      <c r="D253" s="52" t="s">
        <v>615</v>
      </c>
      <c r="E253" s="53" t="s">
        <v>20</v>
      </c>
      <c r="F253" s="34" t="str">
        <f t="shared" si="3"/>
        <v>#REF!</v>
      </c>
      <c r="G253" s="34" t="str">
        <f t="shared" si="4"/>
        <v>#REF!</v>
      </c>
      <c r="H253" s="54" t="s">
        <v>21</v>
      </c>
      <c r="I253" s="81" t="s">
        <v>99</v>
      </c>
      <c r="J253" s="54" t="s">
        <v>20</v>
      </c>
      <c r="K253" s="42" t="s">
        <v>95</v>
      </c>
      <c r="L253" s="42" t="s">
        <v>616</v>
      </c>
      <c r="M253" s="38">
        <v>16.0</v>
      </c>
      <c r="N253" s="42" t="s">
        <v>25</v>
      </c>
      <c r="O253" s="42" t="s">
        <v>55</v>
      </c>
      <c r="P253" s="43" t="s">
        <v>82</v>
      </c>
    </row>
    <row r="254">
      <c r="A254" s="51">
        <v>1073.0</v>
      </c>
      <c r="B254" s="51">
        <v>1073.0</v>
      </c>
      <c r="C254" s="34">
        <f>IFERROR(__xludf.DUMMYFUNCTION("if(B254&lt;=999,if(B254&lt;=99,IF(B254&lt;=9,join(,""000"",B254),join(,""00"",B254)),join(,""0"",B254)),B254)"),1073.0)</f>
        <v>1073</v>
      </c>
      <c r="D254" s="52" t="s">
        <v>617</v>
      </c>
      <c r="E254" s="53" t="s">
        <v>20</v>
      </c>
      <c r="F254" s="34" t="str">
        <f t="shared" si="3"/>
        <v>#REF!</v>
      </c>
      <c r="G254" s="34" t="str">
        <f t="shared" si="4"/>
        <v>#REF!</v>
      </c>
      <c r="H254" s="54" t="s">
        <v>21</v>
      </c>
      <c r="I254" s="37" t="s">
        <v>22</v>
      </c>
      <c r="J254" s="54" t="s">
        <v>20</v>
      </c>
      <c r="K254" s="42" t="s">
        <v>95</v>
      </c>
      <c r="L254" s="42" t="s">
        <v>618</v>
      </c>
      <c r="M254" s="38">
        <v>8000.0</v>
      </c>
      <c r="N254" s="42" t="s">
        <v>25</v>
      </c>
      <c r="O254" s="42" t="s">
        <v>256</v>
      </c>
      <c r="P254" s="43"/>
    </row>
    <row r="255">
      <c r="A255" s="33">
        <v>758.0</v>
      </c>
      <c r="B255" s="34">
        <v>758.0</v>
      </c>
      <c r="C255" s="34" t="str">
        <f>IFERROR(__xludf.DUMMYFUNCTION("if(B255&lt;=999,if(B255&lt;=99,IF(B255&lt;=9,join(,""000"",B255),join(,""00"",B255)),join(,""0"",B255)),B255)"),"0758")</f>
        <v>0758</v>
      </c>
      <c r="D255" s="35" t="s">
        <v>619</v>
      </c>
      <c r="E255" s="34" t="s">
        <v>20</v>
      </c>
      <c r="F255" s="34" t="str">
        <f t="shared" si="3"/>
        <v>#REF!</v>
      </c>
      <c r="G255" s="34" t="str">
        <f t="shared" si="4"/>
        <v>#REF!</v>
      </c>
      <c r="H255" s="36" t="s">
        <v>21</v>
      </c>
      <c r="I255" s="37" t="s">
        <v>101</v>
      </c>
      <c r="J255" s="36" t="s">
        <v>20</v>
      </c>
      <c r="K255" s="38" t="s">
        <v>620</v>
      </c>
      <c r="L255" s="38" t="s">
        <v>621</v>
      </c>
      <c r="M255" s="38" t="s">
        <v>622</v>
      </c>
      <c r="N255" s="38" t="s">
        <v>25</v>
      </c>
      <c r="O255" s="38" t="s">
        <v>256</v>
      </c>
      <c r="P255" s="43"/>
    </row>
    <row r="256">
      <c r="A256" s="51">
        <v>1137.0</v>
      </c>
      <c r="B256" s="51">
        <v>1137.0</v>
      </c>
      <c r="C256" s="34">
        <f>IFERROR(__xludf.DUMMYFUNCTION("if(B256&lt;=999,if(B256&lt;=99,IF(B256&lt;=9,join(,""000"",B256),join(,""00"",B256)),join(,""0"",B256)),B256)"),1137.0)</f>
        <v>1137</v>
      </c>
      <c r="D256" s="52" t="s">
        <v>623</v>
      </c>
      <c r="E256" s="53" t="s">
        <v>20</v>
      </c>
      <c r="F256" s="34" t="str">
        <f t="shared" si="3"/>
        <v>#REF!</v>
      </c>
      <c r="G256" s="34" t="str">
        <f t="shared" si="4"/>
        <v>#REF!</v>
      </c>
      <c r="H256" s="54" t="s">
        <v>21</v>
      </c>
      <c r="I256" s="37" t="s">
        <v>63</v>
      </c>
      <c r="J256" s="54" t="s">
        <v>20</v>
      </c>
      <c r="K256" s="42" t="s">
        <v>624</v>
      </c>
      <c r="L256" s="42" t="s">
        <v>625</v>
      </c>
      <c r="M256" s="38">
        <v>8000.0</v>
      </c>
      <c r="N256" s="42" t="s">
        <v>25</v>
      </c>
      <c r="O256" s="42" t="s">
        <v>55</v>
      </c>
      <c r="P256" s="43"/>
    </row>
    <row r="257">
      <c r="A257" s="51">
        <v>1270.0</v>
      </c>
      <c r="B257" s="51">
        <v>1270.0</v>
      </c>
      <c r="C257" s="34">
        <f>IFERROR(__xludf.DUMMYFUNCTION("if(B257&lt;=999,if(B257&lt;=99,IF(B257&lt;=9,join(,""000"",B257),join(,""00"",B257)),join(,""0"",B257)),B257)"),1270.0)</f>
        <v>1270</v>
      </c>
      <c r="D257" s="52" t="s">
        <v>626</v>
      </c>
      <c r="E257" s="53" t="s">
        <v>20</v>
      </c>
      <c r="F257" s="34" t="str">
        <f t="shared" si="3"/>
        <v>#REF!</v>
      </c>
      <c r="G257" s="34" t="str">
        <f t="shared" si="4"/>
        <v>#REF!</v>
      </c>
      <c r="H257" s="54" t="s">
        <v>21</v>
      </c>
      <c r="I257" s="37" t="s">
        <v>22</v>
      </c>
      <c r="J257" s="54" t="s">
        <v>20</v>
      </c>
      <c r="K257" s="36" t="s">
        <v>330</v>
      </c>
      <c r="L257" s="36" t="s">
        <v>627</v>
      </c>
      <c r="M257" s="38">
        <v>2.20601225300923E15</v>
      </c>
      <c r="N257" s="62" t="s">
        <v>25</v>
      </c>
      <c r="O257" s="62" t="s">
        <v>55</v>
      </c>
      <c r="P257" s="43"/>
    </row>
    <row r="258">
      <c r="A258" s="33">
        <v>676.0</v>
      </c>
      <c r="B258" s="33">
        <v>676.0</v>
      </c>
      <c r="C258" s="34" t="str">
        <f>IFERROR(__xludf.DUMMYFUNCTION("if(B258&lt;=999,if(B258&lt;=99,IF(B258&lt;=9,join(,""000"",B258),join(,""00"",B258)),join(,""0"",B258)),B258)"),"0676")</f>
        <v>0676</v>
      </c>
      <c r="D258" s="35" t="s">
        <v>628</v>
      </c>
      <c r="E258" s="34" t="s">
        <v>20</v>
      </c>
      <c r="F258" s="34" t="str">
        <f t="shared" si="3"/>
        <v>#REF!</v>
      </c>
      <c r="G258" s="34" t="str">
        <f t="shared" si="4"/>
        <v>#REF!</v>
      </c>
      <c r="H258" s="36" t="s">
        <v>21</v>
      </c>
      <c r="I258" s="37" t="s">
        <v>22</v>
      </c>
      <c r="J258" s="36" t="s">
        <v>20</v>
      </c>
      <c r="K258" s="38" t="s">
        <v>360</v>
      </c>
      <c r="L258" s="38" t="s">
        <v>629</v>
      </c>
      <c r="M258" s="38" t="s">
        <v>630</v>
      </c>
      <c r="N258" s="38" t="s">
        <v>25</v>
      </c>
      <c r="O258" s="38" t="s">
        <v>55</v>
      </c>
      <c r="P258" s="39"/>
    </row>
    <row r="259">
      <c r="A259" s="51">
        <v>1316.0</v>
      </c>
      <c r="B259" s="51">
        <v>1316.0</v>
      </c>
      <c r="C259" s="34">
        <f>IFERROR(__xludf.DUMMYFUNCTION("if(B259&lt;=999,if(B259&lt;=99,IF(B259&lt;=9,join(,""000"",B259),join(,""00"",B259)),join(,""0"",B259)),B259)"),1316.0)</f>
        <v>1316</v>
      </c>
      <c r="D259" s="52" t="s">
        <v>631</v>
      </c>
      <c r="E259" s="53" t="s">
        <v>20</v>
      </c>
      <c r="F259" s="34" t="str">
        <f t="shared" si="3"/>
        <v>#REF!</v>
      </c>
      <c r="G259" s="34" t="str">
        <f t="shared" si="4"/>
        <v>#REF!</v>
      </c>
      <c r="H259" s="54" t="s">
        <v>21</v>
      </c>
      <c r="I259" s="37" t="s">
        <v>60</v>
      </c>
      <c r="J259" s="54" t="s">
        <v>20</v>
      </c>
      <c r="K259" s="42" t="s">
        <v>360</v>
      </c>
      <c r="L259" s="42" t="s">
        <v>632</v>
      </c>
      <c r="M259" s="38">
        <v>8.0</v>
      </c>
      <c r="N259" s="42" t="s">
        <v>25</v>
      </c>
      <c r="O259" s="42" t="s">
        <v>633</v>
      </c>
      <c r="P259" s="43"/>
    </row>
    <row r="260">
      <c r="A260" s="55">
        <v>1131.0</v>
      </c>
      <c r="B260" s="55">
        <v>1131.0</v>
      </c>
      <c r="C260" s="45">
        <f>IFERROR(__xludf.DUMMYFUNCTION("if(B260&lt;=999,if(B260&lt;=99,IF(B260&lt;=9,join(,""000"",B260),join(,""00"",B260)),join(,""0"",B260)),B260)"),1131.0)</f>
        <v>1131</v>
      </c>
      <c r="D260" s="56" t="s">
        <v>634</v>
      </c>
      <c r="E260" s="55" t="s">
        <v>20</v>
      </c>
      <c r="F260" s="45" t="str">
        <f t="shared" si="3"/>
        <v>#REF!</v>
      </c>
      <c r="G260" s="45" t="str">
        <f t="shared" si="4"/>
        <v>#REF!</v>
      </c>
      <c r="H260" s="57" t="s">
        <v>21</v>
      </c>
      <c r="I260" s="83" t="s">
        <v>63</v>
      </c>
      <c r="J260" s="57" t="s">
        <v>35</v>
      </c>
      <c r="K260" s="60" t="s">
        <v>360</v>
      </c>
      <c r="L260" s="60" t="s">
        <v>635</v>
      </c>
      <c r="M260" s="49">
        <v>8000.0</v>
      </c>
      <c r="N260" s="60" t="s">
        <v>25</v>
      </c>
      <c r="O260" s="60" t="s">
        <v>55</v>
      </c>
      <c r="P260" s="61" t="s">
        <v>636</v>
      </c>
    </row>
    <row r="261">
      <c r="A261" s="51">
        <v>1284.0</v>
      </c>
      <c r="B261" s="51">
        <v>1284.0</v>
      </c>
      <c r="C261" s="34">
        <f>IFERROR(__xludf.DUMMYFUNCTION("if(B261&lt;=999,if(B261&lt;=99,IF(B261&lt;=9,join(,""000"",B261),join(,""00"",B261)),join(,""0"",B261)),B261)"),1284.0)</f>
        <v>1284</v>
      </c>
      <c r="D261" s="52" t="s">
        <v>637</v>
      </c>
      <c r="E261" s="53" t="s">
        <v>20</v>
      </c>
      <c r="F261" s="34" t="str">
        <f t="shared" si="3"/>
        <v>#REF!</v>
      </c>
      <c r="G261" s="34" t="str">
        <f t="shared" si="4"/>
        <v>#REF!</v>
      </c>
      <c r="H261" s="54" t="s">
        <v>21</v>
      </c>
      <c r="I261" s="37" t="s">
        <v>73</v>
      </c>
      <c r="J261" s="54" t="s">
        <v>20</v>
      </c>
      <c r="K261" s="42" t="s">
        <v>28</v>
      </c>
      <c r="L261" s="42" t="s">
        <v>638</v>
      </c>
      <c r="M261" s="38">
        <v>16.0</v>
      </c>
      <c r="N261" s="42" t="s">
        <v>25</v>
      </c>
      <c r="O261" s="42" t="s">
        <v>86</v>
      </c>
      <c r="P261" s="43" t="s">
        <v>639</v>
      </c>
    </row>
    <row r="262">
      <c r="A262" s="33">
        <v>1208.0</v>
      </c>
      <c r="B262" s="34">
        <v>1208.0</v>
      </c>
      <c r="C262" s="34">
        <f>IFERROR(__xludf.DUMMYFUNCTION("if(B262&lt;=999,if(B262&lt;=99,IF(B262&lt;=9,join(,""000"",B262),join(,""00"",B262)),join(,""0"",B262)),B262)"),1208.0)</f>
        <v>1208</v>
      </c>
      <c r="D262" s="35" t="s">
        <v>640</v>
      </c>
      <c r="E262" s="34" t="s">
        <v>20</v>
      </c>
      <c r="F262" s="34" t="str">
        <f t="shared" si="3"/>
        <v>#REF!</v>
      </c>
      <c r="G262" s="34" t="str">
        <f t="shared" si="4"/>
        <v>#REF!</v>
      </c>
      <c r="H262" s="36" t="s">
        <v>21</v>
      </c>
      <c r="I262" s="37" t="s">
        <v>22</v>
      </c>
      <c r="J262" s="36" t="s">
        <v>20</v>
      </c>
      <c r="K262" s="38" t="s">
        <v>95</v>
      </c>
      <c r="L262" s="38" t="s">
        <v>641</v>
      </c>
      <c r="M262" s="38">
        <v>25001.0</v>
      </c>
      <c r="N262" s="38" t="s">
        <v>25</v>
      </c>
      <c r="O262" s="38" t="s">
        <v>86</v>
      </c>
      <c r="P262" s="39" t="s">
        <v>642</v>
      </c>
    </row>
    <row r="263">
      <c r="A263" s="51">
        <v>1129.0</v>
      </c>
      <c r="B263" s="51">
        <v>1129.0</v>
      </c>
      <c r="C263" s="34">
        <f>IFERROR(__xludf.DUMMYFUNCTION("if(B263&lt;=999,if(B263&lt;=99,IF(B263&lt;=9,join(,""000"",B263),join(,""00"",B263)),join(,""0"",B263)),B263)"),1129.0)</f>
        <v>1129</v>
      </c>
      <c r="D263" s="52" t="s">
        <v>643</v>
      </c>
      <c r="E263" s="53" t="s">
        <v>35</v>
      </c>
      <c r="F263" s="34" t="str">
        <f t="shared" si="3"/>
        <v>#REF!</v>
      </c>
      <c r="G263" s="34" t="str">
        <f t="shared" si="4"/>
        <v>#REF!</v>
      </c>
      <c r="H263" s="54" t="s">
        <v>21</v>
      </c>
      <c r="I263" s="81"/>
      <c r="J263" s="54"/>
      <c r="K263" s="42"/>
      <c r="L263" s="42"/>
      <c r="M263" s="38" t="e">
        <v>#N/A</v>
      </c>
      <c r="N263" s="42"/>
      <c r="O263" s="42"/>
      <c r="P263" s="43"/>
    </row>
    <row r="264">
      <c r="A264" s="33">
        <v>801.0</v>
      </c>
      <c r="B264" s="34">
        <v>801.0</v>
      </c>
      <c r="C264" s="34" t="str">
        <f>IFERROR(__xludf.DUMMYFUNCTION("if(B264&lt;=999,if(B264&lt;=99,IF(B264&lt;=9,join(,""000"",B264),join(,""00"",B264)),join(,""0"",B264)),B264)"),"0801")</f>
        <v>0801</v>
      </c>
      <c r="D264" s="35" t="s">
        <v>644</v>
      </c>
      <c r="E264" s="34" t="s">
        <v>20</v>
      </c>
      <c r="F264" s="34" t="str">
        <f t="shared" si="3"/>
        <v>#REF!</v>
      </c>
      <c r="G264" s="34" t="str">
        <f t="shared" si="4"/>
        <v>#REF!</v>
      </c>
      <c r="H264" s="36" t="s">
        <v>21</v>
      </c>
      <c r="I264" s="37" t="s">
        <v>101</v>
      </c>
      <c r="J264" s="36" t="s">
        <v>20</v>
      </c>
      <c r="K264" s="38"/>
      <c r="L264" s="42"/>
      <c r="M264" s="38" t="s">
        <v>645</v>
      </c>
      <c r="N264" s="38"/>
      <c r="O264" s="38"/>
      <c r="P264" s="39" t="s">
        <v>46</v>
      </c>
    </row>
    <row r="265">
      <c r="A265" s="51">
        <v>524.0</v>
      </c>
      <c r="B265" s="51">
        <v>524.0</v>
      </c>
      <c r="C265" s="34" t="str">
        <f>IFERROR(__xludf.DUMMYFUNCTION("if(B265&lt;=999,if(B265&lt;=99,IF(B265&lt;=9,join(,""000"",B265),join(,""00"",B265)),join(,""0"",B265)),B265)"),"0524")</f>
        <v>0524</v>
      </c>
      <c r="D265" s="52" t="s">
        <v>646</v>
      </c>
      <c r="E265" s="53" t="s">
        <v>20</v>
      </c>
      <c r="F265" s="34" t="str">
        <f t="shared" si="3"/>
        <v>#REF!</v>
      </c>
      <c r="G265" s="34" t="str">
        <f t="shared" si="4"/>
        <v>#REF!</v>
      </c>
      <c r="H265" s="54" t="s">
        <v>21</v>
      </c>
      <c r="I265" s="37" t="s">
        <v>22</v>
      </c>
      <c r="J265" s="54" t="s">
        <v>35</v>
      </c>
      <c r="K265" s="42"/>
      <c r="L265" s="42"/>
      <c r="M265" s="38">
        <v>64.0</v>
      </c>
      <c r="N265" s="42"/>
      <c r="O265" s="42"/>
      <c r="P265" s="43" t="s">
        <v>61</v>
      </c>
    </row>
    <row r="266">
      <c r="A266" s="33">
        <v>19.0</v>
      </c>
      <c r="B266" s="34">
        <v>19.0</v>
      </c>
      <c r="C266" s="34" t="str">
        <f>IFERROR(__xludf.DUMMYFUNCTION("if(B266&lt;=999,if(B266&lt;=99,IF(B266&lt;=9,join(,""000"",B266),join(,""00"",B266)),join(,""0"",B266)),B266)"),"0019")</f>
        <v>0019</v>
      </c>
      <c r="D266" s="35" t="s">
        <v>647</v>
      </c>
      <c r="E266" s="34" t="s">
        <v>35</v>
      </c>
      <c r="F266" s="34" t="str">
        <f t="shared" si="3"/>
        <v>#REF!</v>
      </c>
      <c r="G266" s="34" t="str">
        <f t="shared" si="4"/>
        <v>#REF!</v>
      </c>
      <c r="H266" s="36" t="s">
        <v>21</v>
      </c>
      <c r="I266" s="37"/>
      <c r="J266" s="36"/>
      <c r="K266" s="38"/>
      <c r="L266" s="42"/>
      <c r="M266" s="38" t="e">
        <v>#N/A</v>
      </c>
      <c r="N266" s="38"/>
      <c r="O266" s="38"/>
      <c r="P266" s="39"/>
    </row>
    <row r="267">
      <c r="A267" s="51">
        <v>1271.0</v>
      </c>
      <c r="B267" s="51">
        <v>1271.0</v>
      </c>
      <c r="C267" s="34">
        <f>IFERROR(__xludf.DUMMYFUNCTION("if(B267&lt;=999,if(B267&lt;=99,IF(B267&lt;=9,join(,""000"",B267),join(,""00"",B267)),join(,""0"",B267)),B267)"),1271.0)</f>
        <v>1271</v>
      </c>
      <c r="D267" s="52" t="s">
        <v>648</v>
      </c>
      <c r="E267" s="53" t="s">
        <v>20</v>
      </c>
      <c r="F267" s="34" t="str">
        <f t="shared" si="3"/>
        <v>#REF!</v>
      </c>
      <c r="G267" s="34" t="str">
        <f t="shared" si="4"/>
        <v>#REF!</v>
      </c>
      <c r="H267" s="54" t="s">
        <v>21</v>
      </c>
      <c r="I267" s="37" t="s">
        <v>73</v>
      </c>
      <c r="J267" s="54" t="s">
        <v>35</v>
      </c>
      <c r="K267" s="42" t="s">
        <v>95</v>
      </c>
      <c r="L267" s="36" t="s">
        <v>649</v>
      </c>
      <c r="M267" s="38">
        <v>8000.0</v>
      </c>
      <c r="N267" s="62" t="s">
        <v>650</v>
      </c>
      <c r="O267" s="62" t="s">
        <v>651</v>
      </c>
      <c r="P267" s="43" t="s">
        <v>66</v>
      </c>
    </row>
    <row r="268">
      <c r="A268" s="51">
        <v>1367.0</v>
      </c>
      <c r="B268" s="51">
        <v>1367.0</v>
      </c>
      <c r="C268" s="34">
        <f>IFERROR(__xludf.DUMMYFUNCTION("if(B268&lt;=999,if(B268&lt;=99,IF(B268&lt;=9,join(,""000"",B268),join(,""00"",B268)),join(,""0"",B268)),B268)"),1367.0)</f>
        <v>1367</v>
      </c>
      <c r="D268" s="52" t="s">
        <v>652</v>
      </c>
      <c r="E268" s="53" t="s">
        <v>20</v>
      </c>
      <c r="F268" s="34" t="str">
        <f t="shared" si="3"/>
        <v>#REF!</v>
      </c>
      <c r="G268" s="34" t="str">
        <f t="shared" si="4"/>
        <v>#REF!</v>
      </c>
      <c r="H268" s="54" t="s">
        <v>21</v>
      </c>
      <c r="I268" s="37" t="s">
        <v>22</v>
      </c>
      <c r="J268" s="54" t="s">
        <v>35</v>
      </c>
      <c r="K268" s="42"/>
      <c r="L268" s="42"/>
      <c r="M268" s="38">
        <v>32.0</v>
      </c>
      <c r="N268" s="42"/>
      <c r="O268" s="42"/>
      <c r="P268" s="43"/>
    </row>
    <row r="269">
      <c r="A269" s="51">
        <v>1123.0</v>
      </c>
      <c r="B269" s="51">
        <v>1123.0</v>
      </c>
      <c r="C269" s="34">
        <f>IFERROR(__xludf.DUMMYFUNCTION("if(B269&lt;=999,if(B269&lt;=99,IF(B269&lt;=9,join(,""000"",B269),join(,""00"",B269)),join(,""0"",B269)),B269)"),1123.0)</f>
        <v>1123</v>
      </c>
      <c r="D269" s="52" t="s">
        <v>653</v>
      </c>
      <c r="E269" s="53" t="s">
        <v>20</v>
      </c>
      <c r="F269" s="34" t="str">
        <f t="shared" si="3"/>
        <v>#REF!</v>
      </c>
      <c r="G269" s="34" t="str">
        <f t="shared" si="4"/>
        <v>#REF!</v>
      </c>
      <c r="H269" s="54" t="s">
        <v>21</v>
      </c>
      <c r="I269" s="37" t="s">
        <v>22</v>
      </c>
      <c r="J269" s="54" t="s">
        <v>35</v>
      </c>
      <c r="K269" s="42"/>
      <c r="L269" s="42"/>
      <c r="M269" s="38" t="e">
        <v>#N/A</v>
      </c>
      <c r="N269" s="42"/>
      <c r="O269" s="42"/>
      <c r="P269" s="43" t="s">
        <v>654</v>
      </c>
    </row>
    <row r="270">
      <c r="A270" s="33">
        <v>1433.0</v>
      </c>
      <c r="B270" s="34">
        <v>1433.0</v>
      </c>
      <c r="C270" s="34">
        <f>IFERROR(__xludf.DUMMYFUNCTION("if(B270&lt;=999,if(B270&lt;=99,IF(B270&lt;=9,join(,""000"",B270),join(,""00"",B270)),join(,""0"",B270)),B270)"),1433.0)</f>
        <v>1433</v>
      </c>
      <c r="D270" s="35" t="s">
        <v>655</v>
      </c>
      <c r="E270" s="34" t="s">
        <v>20</v>
      </c>
      <c r="F270" s="34" t="str">
        <f t="shared" si="3"/>
        <v>#REF!</v>
      </c>
      <c r="G270" s="34" t="str">
        <f t="shared" si="4"/>
        <v>#REF!</v>
      </c>
      <c r="H270" s="36" t="s">
        <v>21</v>
      </c>
      <c r="I270" s="37" t="s">
        <v>117</v>
      </c>
      <c r="J270" s="36" t="s">
        <v>20</v>
      </c>
      <c r="K270" s="38" t="s">
        <v>355</v>
      </c>
      <c r="L270" s="38" t="s">
        <v>656</v>
      </c>
      <c r="M270" s="38">
        <v>16.0</v>
      </c>
      <c r="N270" s="59" t="s">
        <v>657</v>
      </c>
      <c r="O270" s="38"/>
      <c r="P270" s="39" t="s">
        <v>658</v>
      </c>
    </row>
    <row r="271">
      <c r="A271" s="51">
        <v>1042.0</v>
      </c>
      <c r="B271" s="51">
        <v>1042.0</v>
      </c>
      <c r="C271" s="34">
        <f>IFERROR(__xludf.DUMMYFUNCTION("if(B271&lt;=999,if(B271&lt;=99,IF(B271&lt;=9,join(,""000"",B271),join(,""00"",B271)),join(,""0"",B271)),B271)"),1042.0)</f>
        <v>1042</v>
      </c>
      <c r="D271" s="52" t="s">
        <v>659</v>
      </c>
      <c r="E271" s="53" t="s">
        <v>20</v>
      </c>
      <c r="F271" s="34" t="str">
        <f t="shared" si="3"/>
        <v>#REF!</v>
      </c>
      <c r="G271" s="34" t="str">
        <f t="shared" si="4"/>
        <v>#REF!</v>
      </c>
      <c r="H271" s="54" t="s">
        <v>21</v>
      </c>
      <c r="I271" s="81" t="s">
        <v>99</v>
      </c>
      <c r="J271" s="54" t="s">
        <v>20</v>
      </c>
      <c r="K271" s="42" t="s">
        <v>355</v>
      </c>
      <c r="L271" s="42" t="s">
        <v>660</v>
      </c>
      <c r="M271" s="38">
        <v>16.0</v>
      </c>
      <c r="N271" s="42" t="s">
        <v>25</v>
      </c>
      <c r="O271" s="42" t="s">
        <v>55</v>
      </c>
      <c r="P271" s="43"/>
    </row>
    <row r="272">
      <c r="A272" s="51">
        <v>1307.0</v>
      </c>
      <c r="B272" s="51">
        <v>1307.0</v>
      </c>
      <c r="C272" s="34">
        <f>IFERROR(__xludf.DUMMYFUNCTION("if(B272&lt;=999,if(B272&lt;=99,IF(B272&lt;=9,join(,""000"",B272),join(,""00"",B272)),join(,""0"",B272)),B272)"),1307.0)</f>
        <v>1307</v>
      </c>
      <c r="D272" s="52" t="s">
        <v>661</v>
      </c>
      <c r="E272" s="53" t="s">
        <v>35</v>
      </c>
      <c r="F272" s="34" t="str">
        <f t="shared" si="3"/>
        <v>#REF!</v>
      </c>
      <c r="G272" s="34" t="str">
        <f t="shared" si="4"/>
        <v>#REF!</v>
      </c>
      <c r="H272" s="54" t="s">
        <v>21</v>
      </c>
      <c r="I272" s="81"/>
      <c r="J272" s="54"/>
      <c r="K272" s="42"/>
      <c r="L272" s="42"/>
      <c r="M272" s="38" t="e">
        <v>#N/A</v>
      </c>
      <c r="N272" s="42"/>
      <c r="O272" s="42"/>
      <c r="P272" s="43"/>
    </row>
    <row r="273">
      <c r="A273" s="33">
        <v>1111.0</v>
      </c>
      <c r="B273" s="34">
        <v>1111.0</v>
      </c>
      <c r="C273" s="34">
        <f>IFERROR(__xludf.DUMMYFUNCTION("if(B273&lt;=999,if(B273&lt;=99,IF(B273&lt;=9,join(,""000"",B273),join(,""00"",B273)),join(,""0"",B273)),B273)"),1111.0)</f>
        <v>1111</v>
      </c>
      <c r="D273" s="35" t="s">
        <v>662</v>
      </c>
      <c r="E273" s="34" t="s">
        <v>20</v>
      </c>
      <c r="F273" s="34" t="str">
        <f t="shared" si="3"/>
        <v>#REF!</v>
      </c>
      <c r="G273" s="34" t="str">
        <f t="shared" si="4"/>
        <v>#REF!</v>
      </c>
      <c r="H273" s="36" t="s">
        <v>21</v>
      </c>
      <c r="I273" s="37" t="s">
        <v>101</v>
      </c>
      <c r="J273" s="36" t="s">
        <v>35</v>
      </c>
      <c r="K273" s="38"/>
      <c r="L273" s="42"/>
      <c r="M273" s="38">
        <v>80.0</v>
      </c>
      <c r="N273" s="38"/>
      <c r="O273" s="38"/>
      <c r="P273" s="39" t="s">
        <v>43</v>
      </c>
    </row>
    <row r="274">
      <c r="A274" s="51">
        <v>637.0</v>
      </c>
      <c r="B274" s="51">
        <v>637.0</v>
      </c>
      <c r="C274" s="34" t="str">
        <f>IFERROR(__xludf.DUMMYFUNCTION("if(B274&lt;=999,if(B274&lt;=99,IF(B274&lt;=9,join(,""000"",B274),join(,""00"",B274)),join(,""0"",B274)),B274)"),"0637")</f>
        <v>0637</v>
      </c>
      <c r="D274" s="52" t="s">
        <v>663</v>
      </c>
      <c r="E274" s="53" t="s">
        <v>20</v>
      </c>
      <c r="F274" s="34" t="str">
        <f t="shared" si="3"/>
        <v>#REF!</v>
      </c>
      <c r="G274" s="34" t="str">
        <f t="shared" si="4"/>
        <v>#REF!</v>
      </c>
      <c r="H274" s="54" t="s">
        <v>21</v>
      </c>
      <c r="I274" s="37" t="s">
        <v>63</v>
      </c>
      <c r="J274" s="54" t="s">
        <v>20</v>
      </c>
      <c r="K274" s="42" t="s">
        <v>28</v>
      </c>
      <c r="L274" s="42" t="s">
        <v>664</v>
      </c>
      <c r="M274" s="38">
        <v>16.0</v>
      </c>
      <c r="N274" s="42" t="s">
        <v>104</v>
      </c>
      <c r="O274" s="42">
        <v>12345.0</v>
      </c>
      <c r="P274" s="43" t="s">
        <v>639</v>
      </c>
    </row>
    <row r="275">
      <c r="A275" s="51">
        <v>218.0</v>
      </c>
      <c r="B275" s="51">
        <v>218.0</v>
      </c>
      <c r="C275" s="34" t="str">
        <f>IFERROR(__xludf.DUMMYFUNCTION("if(B275&lt;=999,if(B275&lt;=99,IF(B275&lt;=9,join(,""000"",B275),join(,""00"",B275)),join(,""0"",B275)),B275)"),"0218")</f>
        <v>0218</v>
      </c>
      <c r="D275" s="52" t="s">
        <v>665</v>
      </c>
      <c r="E275" s="53" t="s">
        <v>20</v>
      </c>
      <c r="F275" s="34" t="str">
        <f t="shared" si="3"/>
        <v>#REF!</v>
      </c>
      <c r="G275" s="34" t="str">
        <f t="shared" si="4"/>
        <v>#REF!</v>
      </c>
      <c r="H275" s="54" t="s">
        <v>21</v>
      </c>
      <c r="I275" s="37" t="s">
        <v>22</v>
      </c>
      <c r="J275" s="54" t="s">
        <v>20</v>
      </c>
      <c r="K275" s="42" t="s">
        <v>666</v>
      </c>
      <c r="L275" s="42" t="s">
        <v>667</v>
      </c>
      <c r="M275" s="38" t="e">
        <v>#N/A</v>
      </c>
      <c r="N275" s="42" t="s">
        <v>25</v>
      </c>
      <c r="O275" s="42" t="s">
        <v>86</v>
      </c>
      <c r="P275" s="43"/>
    </row>
    <row r="276">
      <c r="A276" s="51">
        <v>1148.0</v>
      </c>
      <c r="B276" s="51">
        <v>1148.0</v>
      </c>
      <c r="C276" s="34">
        <f>IFERROR(__xludf.DUMMYFUNCTION("if(B276&lt;=999,if(B276&lt;=99,IF(B276&lt;=9,join(,""000"",B276),join(,""00"",B276)),join(,""0"",B276)),B276)"),1148.0)</f>
        <v>1148</v>
      </c>
      <c r="D276" s="52" t="s">
        <v>668</v>
      </c>
      <c r="E276" s="53" t="s">
        <v>20</v>
      </c>
      <c r="F276" s="34" t="str">
        <f t="shared" si="3"/>
        <v>#REF!</v>
      </c>
      <c r="G276" s="34" t="str">
        <f t="shared" si="4"/>
        <v>#REF!</v>
      </c>
      <c r="H276" s="54" t="s">
        <v>21</v>
      </c>
      <c r="I276" s="37" t="s">
        <v>34</v>
      </c>
      <c r="J276" s="54" t="s">
        <v>20</v>
      </c>
      <c r="K276" s="42" t="s">
        <v>666</v>
      </c>
      <c r="L276" s="42" t="s">
        <v>667</v>
      </c>
      <c r="M276" s="38" t="e">
        <v>#N/A</v>
      </c>
      <c r="N276" s="42" t="s">
        <v>25</v>
      </c>
      <c r="O276" s="42" t="s">
        <v>86</v>
      </c>
      <c r="P276" s="43"/>
    </row>
    <row r="277">
      <c r="A277" s="51">
        <v>1090.0</v>
      </c>
      <c r="B277" s="51">
        <v>1090.0</v>
      </c>
      <c r="C277" s="34">
        <f>IFERROR(__xludf.DUMMYFUNCTION("if(B277&lt;=999,if(B277&lt;=99,IF(B277&lt;=9,join(,""000"",B277),join(,""00"",B277)),join(,""0"",B277)),B277)"),1090.0)</f>
        <v>1090</v>
      </c>
      <c r="D277" s="52" t="s">
        <v>669</v>
      </c>
      <c r="E277" s="53" t="s">
        <v>20</v>
      </c>
      <c r="F277" s="34" t="str">
        <f t="shared" si="3"/>
        <v>#REF!</v>
      </c>
      <c r="G277" s="34" t="str">
        <f t="shared" si="4"/>
        <v>#REF!</v>
      </c>
      <c r="H277" s="54" t="s">
        <v>21</v>
      </c>
      <c r="I277" s="37" t="s">
        <v>34</v>
      </c>
      <c r="J277" s="54" t="s">
        <v>20</v>
      </c>
      <c r="K277" s="42" t="s">
        <v>666</v>
      </c>
      <c r="L277" s="42" t="s">
        <v>667</v>
      </c>
      <c r="M277" s="38" t="e">
        <v>#N/A</v>
      </c>
      <c r="N277" s="42" t="s">
        <v>25</v>
      </c>
      <c r="O277" s="42" t="s">
        <v>86</v>
      </c>
      <c r="P277" s="43"/>
    </row>
    <row r="278">
      <c r="A278" s="51">
        <v>1121.0</v>
      </c>
      <c r="B278" s="51">
        <v>1121.0</v>
      </c>
      <c r="C278" s="34">
        <f>IFERROR(__xludf.DUMMYFUNCTION("if(B278&lt;=999,if(B278&lt;=99,IF(B278&lt;=9,join(,""000"",B278),join(,""00"",B278)),join(,""0"",B278)),B278)"),1121.0)</f>
        <v>1121</v>
      </c>
      <c r="D278" s="52" t="s">
        <v>670</v>
      </c>
      <c r="E278" s="53" t="s">
        <v>20</v>
      </c>
      <c r="F278" s="34" t="str">
        <f t="shared" si="3"/>
        <v>#REF!</v>
      </c>
      <c r="G278" s="34" t="str">
        <f t="shared" si="4"/>
        <v>#REF!</v>
      </c>
      <c r="H278" s="54" t="s">
        <v>21</v>
      </c>
      <c r="I278" s="81" t="s">
        <v>73</v>
      </c>
      <c r="J278" s="54" t="s">
        <v>35</v>
      </c>
      <c r="K278" s="42" t="s">
        <v>95</v>
      </c>
      <c r="L278" s="42" t="s">
        <v>671</v>
      </c>
      <c r="M278" s="38">
        <v>80.0</v>
      </c>
      <c r="N278" s="42" t="s">
        <v>25</v>
      </c>
      <c r="O278" s="42" t="s">
        <v>55</v>
      </c>
      <c r="P278" s="43" t="s">
        <v>66</v>
      </c>
    </row>
    <row r="279">
      <c r="A279" s="33">
        <v>61.0</v>
      </c>
      <c r="B279" s="34">
        <v>61.0</v>
      </c>
      <c r="C279" s="34" t="str">
        <f>IFERROR(__xludf.DUMMYFUNCTION("if(B279&lt;=999,if(B279&lt;=99,IF(B279&lt;=9,join(,""000"",B279),join(,""00"",B279)),join(,""0"",B279)),B279)"),"0061")</f>
        <v>0061</v>
      </c>
      <c r="D279" s="35" t="s">
        <v>672</v>
      </c>
      <c r="E279" s="53" t="s">
        <v>20</v>
      </c>
      <c r="F279" s="34" t="str">
        <f t="shared" si="3"/>
        <v>#REF!</v>
      </c>
      <c r="G279" s="34" t="str">
        <f t="shared" si="4"/>
        <v>#REF!</v>
      </c>
      <c r="H279" s="36" t="s">
        <v>21</v>
      </c>
      <c r="I279" s="37" t="s">
        <v>77</v>
      </c>
      <c r="J279" s="36" t="s">
        <v>20</v>
      </c>
      <c r="K279" s="42" t="s">
        <v>95</v>
      </c>
      <c r="L279" s="42" t="s">
        <v>673</v>
      </c>
      <c r="M279" s="38" t="e">
        <v>#N/A</v>
      </c>
      <c r="N279" s="42" t="s">
        <v>25</v>
      </c>
      <c r="O279" s="42" t="s">
        <v>674</v>
      </c>
      <c r="P279" s="43" t="s">
        <v>82</v>
      </c>
    </row>
    <row r="280">
      <c r="A280" s="55">
        <v>814.0</v>
      </c>
      <c r="B280" s="55">
        <v>814.0</v>
      </c>
      <c r="C280" s="45" t="str">
        <f>IFERROR(__xludf.DUMMYFUNCTION("if(B280&lt;=999,if(B280&lt;=99,IF(B280&lt;=9,join(,""000"",B280),join(,""00"",B280)),join(,""0"",B280)),B280)"),"0814")</f>
        <v>0814</v>
      </c>
      <c r="D280" s="56" t="s">
        <v>675</v>
      </c>
      <c r="E280" s="55" t="s">
        <v>20</v>
      </c>
      <c r="F280" s="45" t="str">
        <f t="shared" si="3"/>
        <v>#REF!</v>
      </c>
      <c r="G280" s="45" t="str">
        <f t="shared" si="4"/>
        <v>#REF!</v>
      </c>
      <c r="H280" s="57" t="s">
        <v>21</v>
      </c>
      <c r="I280" s="83" t="s">
        <v>73</v>
      </c>
      <c r="J280" s="57" t="s">
        <v>20</v>
      </c>
      <c r="K280" s="49" t="s">
        <v>95</v>
      </c>
      <c r="L280" s="47" t="s">
        <v>676</v>
      </c>
      <c r="M280" s="49">
        <v>25001.0</v>
      </c>
      <c r="N280" s="58" t="s">
        <v>677</v>
      </c>
      <c r="O280" s="58" t="s">
        <v>678</v>
      </c>
      <c r="P280" s="61" t="s">
        <v>679</v>
      </c>
    </row>
    <row r="281">
      <c r="A281" s="45">
        <v>1192.0</v>
      </c>
      <c r="B281" s="45">
        <v>1192.0</v>
      </c>
      <c r="C281" s="45">
        <f>IFERROR(__xludf.DUMMYFUNCTION("if(B281&lt;=999,if(B281&lt;=99,IF(B281&lt;=9,join(,""000"",B281),join(,""00"",B281)),join(,""0"",B281)),B281)"),1192.0)</f>
        <v>1192</v>
      </c>
      <c r="D281" s="46" t="s">
        <v>680</v>
      </c>
      <c r="E281" s="45" t="s">
        <v>20</v>
      </c>
      <c r="F281" s="45" t="str">
        <f t="shared" si="3"/>
        <v>#REF!</v>
      </c>
      <c r="G281" s="45" t="str">
        <f t="shared" si="4"/>
        <v>#REF!</v>
      </c>
      <c r="H281" s="47" t="s">
        <v>21</v>
      </c>
      <c r="I281" s="48" t="s">
        <v>73</v>
      </c>
      <c r="J281" s="47" t="s">
        <v>20</v>
      </c>
      <c r="K281" s="49" t="s">
        <v>95</v>
      </c>
      <c r="L281" s="47" t="s">
        <v>676</v>
      </c>
      <c r="M281" s="49">
        <v>25001.0</v>
      </c>
      <c r="N281" s="58" t="s">
        <v>677</v>
      </c>
      <c r="O281" s="58" t="s">
        <v>678</v>
      </c>
      <c r="P281" s="61" t="s">
        <v>679</v>
      </c>
    </row>
    <row r="282">
      <c r="A282" s="51">
        <v>685.0</v>
      </c>
      <c r="B282" s="51">
        <v>685.0</v>
      </c>
      <c r="C282" s="34" t="str">
        <f>IFERROR(__xludf.DUMMYFUNCTION("if(B282&lt;=999,if(B282&lt;=99,IF(B282&lt;=9,join(,""000"",B282),join(,""00"",B282)),join(,""0"",B282)),B282)"),"0685")</f>
        <v>0685</v>
      </c>
      <c r="D282" s="52" t="s">
        <v>681</v>
      </c>
      <c r="E282" s="53" t="s">
        <v>35</v>
      </c>
      <c r="F282" s="34" t="str">
        <f t="shared" si="3"/>
        <v>#REF!</v>
      </c>
      <c r="G282" s="34" t="str">
        <f t="shared" si="4"/>
        <v>#REF!</v>
      </c>
      <c r="H282" s="54" t="s">
        <v>21</v>
      </c>
      <c r="I282" s="81"/>
      <c r="J282" s="54"/>
      <c r="K282" s="42"/>
      <c r="L282" s="42"/>
      <c r="M282" s="38" t="e">
        <v>#N/A</v>
      </c>
      <c r="N282" s="42"/>
      <c r="O282" s="42"/>
      <c r="P282" s="43"/>
    </row>
    <row r="283">
      <c r="A283" s="33">
        <v>341.0</v>
      </c>
      <c r="B283" s="34">
        <v>341.0</v>
      </c>
      <c r="C283" s="34" t="str">
        <f>IFERROR(__xludf.DUMMYFUNCTION("if(B283&lt;=999,if(B283&lt;=99,IF(B283&lt;=9,join(,""000"",B283),join(,""00"",B283)),join(,""0"",B283)),B283)"),"0341")</f>
        <v>0341</v>
      </c>
      <c r="D283" s="35" t="s">
        <v>682</v>
      </c>
      <c r="E283" s="34" t="s">
        <v>20</v>
      </c>
      <c r="F283" s="34" t="str">
        <f t="shared" si="3"/>
        <v>#REF!</v>
      </c>
      <c r="G283" s="34" t="str">
        <f t="shared" si="4"/>
        <v>#REF!</v>
      </c>
      <c r="H283" s="36" t="s">
        <v>21</v>
      </c>
      <c r="I283" s="37" t="s">
        <v>73</v>
      </c>
      <c r="J283" s="36" t="s">
        <v>35</v>
      </c>
      <c r="K283" s="38" t="s">
        <v>95</v>
      </c>
      <c r="L283" s="38" t="s">
        <v>683</v>
      </c>
      <c r="M283" s="38" t="s">
        <v>684</v>
      </c>
      <c r="N283" s="38" t="s">
        <v>25</v>
      </c>
      <c r="O283" s="38" t="s">
        <v>55</v>
      </c>
      <c r="P283" s="39" t="s">
        <v>66</v>
      </c>
    </row>
    <row r="284">
      <c r="A284" s="33">
        <v>1362.0</v>
      </c>
      <c r="B284" s="34">
        <v>1362.0</v>
      </c>
      <c r="C284" s="34">
        <f>IFERROR(__xludf.DUMMYFUNCTION("if(B284&lt;=999,if(B284&lt;=99,IF(B284&lt;=9,join(,""000"",B284),join(,""00"",B284)),join(,""0"",B284)),B284)"),1362.0)</f>
        <v>1362</v>
      </c>
      <c r="D284" s="35" t="s">
        <v>685</v>
      </c>
      <c r="E284" s="34" t="s">
        <v>20</v>
      </c>
      <c r="F284" s="34" t="str">
        <f t="shared" si="3"/>
        <v>#REF!</v>
      </c>
      <c r="G284" s="34" t="str">
        <f t="shared" si="4"/>
        <v>#REF!</v>
      </c>
      <c r="H284" s="36" t="s">
        <v>21</v>
      </c>
      <c r="I284" s="37" t="s">
        <v>22</v>
      </c>
      <c r="J284" s="36" t="s">
        <v>35</v>
      </c>
      <c r="K284" s="38" t="s">
        <v>95</v>
      </c>
      <c r="L284" s="62" t="s">
        <v>686</v>
      </c>
      <c r="M284" s="64" t="s">
        <v>25</v>
      </c>
      <c r="N284" s="65" t="s">
        <v>25</v>
      </c>
      <c r="O284" s="62" t="s">
        <v>687</v>
      </c>
      <c r="P284" s="39" t="s">
        <v>61</v>
      </c>
    </row>
    <row r="285">
      <c r="A285" s="51">
        <v>1015.0</v>
      </c>
      <c r="B285" s="51">
        <v>1015.0</v>
      </c>
      <c r="C285" s="34">
        <f>IFERROR(__xludf.DUMMYFUNCTION("if(B285&lt;=999,if(B285&lt;=99,IF(B285&lt;=9,join(,""000"",B285),join(,""00"",B285)),join(,""0"",B285)),B285)"),1015.0)</f>
        <v>1015</v>
      </c>
      <c r="D285" s="52" t="s">
        <v>688</v>
      </c>
      <c r="E285" s="53" t="s">
        <v>20</v>
      </c>
      <c r="F285" s="34" t="str">
        <f t="shared" si="3"/>
        <v>#REF!</v>
      </c>
      <c r="G285" s="34" t="str">
        <f t="shared" si="4"/>
        <v>#REF!</v>
      </c>
      <c r="H285" s="54" t="s">
        <v>21</v>
      </c>
      <c r="I285" s="37" t="s">
        <v>22</v>
      </c>
      <c r="J285" s="54" t="s">
        <v>35</v>
      </c>
      <c r="K285" s="42"/>
      <c r="L285" s="42"/>
      <c r="M285" s="38">
        <v>16.0</v>
      </c>
      <c r="N285" s="42"/>
      <c r="O285" s="42"/>
      <c r="P285" s="43" t="s">
        <v>689</v>
      </c>
    </row>
    <row r="286">
      <c r="A286" s="51">
        <v>6.0</v>
      </c>
      <c r="B286" s="51">
        <v>6.0</v>
      </c>
      <c r="C286" s="34" t="str">
        <f>IFERROR(__xludf.DUMMYFUNCTION("if(B286&lt;=999,if(B286&lt;=99,IF(B286&lt;=9,join(,""000"",B286),join(,""00"",B286)),join(,""0"",B286)),B286)"),"0006")</f>
        <v>0006</v>
      </c>
      <c r="D286" s="52" t="s">
        <v>690</v>
      </c>
      <c r="E286" s="53" t="s">
        <v>20</v>
      </c>
      <c r="F286" s="34" t="str">
        <f t="shared" si="3"/>
        <v>#REF!</v>
      </c>
      <c r="G286" s="34" t="str">
        <f t="shared" si="4"/>
        <v>#REF!</v>
      </c>
      <c r="H286" s="54" t="s">
        <v>21</v>
      </c>
      <c r="I286" s="81"/>
      <c r="J286" s="54"/>
      <c r="K286" s="42"/>
      <c r="L286" s="42"/>
      <c r="M286" s="38">
        <v>80.0</v>
      </c>
      <c r="N286" s="42"/>
      <c r="O286" s="42"/>
      <c r="P286" s="43"/>
    </row>
    <row r="287">
      <c r="A287" s="55">
        <v>683.0</v>
      </c>
      <c r="B287" s="55">
        <v>683.0</v>
      </c>
      <c r="C287" s="45" t="str">
        <f>IFERROR(__xludf.DUMMYFUNCTION("if(B287&lt;=999,if(B287&lt;=99,IF(B287&lt;=9,join(,""000"",B287),join(,""00"",B287)),join(,""0"",B287)),B287)"),"0683")</f>
        <v>0683</v>
      </c>
      <c r="D287" s="56" t="s">
        <v>691</v>
      </c>
      <c r="E287" s="55" t="s">
        <v>20</v>
      </c>
      <c r="F287" s="45" t="s">
        <v>692</v>
      </c>
      <c r="G287" s="45">
        <v>9.140451485E9</v>
      </c>
      <c r="H287" s="57" t="s">
        <v>21</v>
      </c>
      <c r="I287" s="83" t="s">
        <v>99</v>
      </c>
      <c r="J287" s="57" t="s">
        <v>20</v>
      </c>
      <c r="K287" s="60" t="s">
        <v>330</v>
      </c>
      <c r="L287" s="60" t="s">
        <v>693</v>
      </c>
      <c r="M287" s="49" t="e">
        <v>#N/A</v>
      </c>
      <c r="N287" s="60" t="s">
        <v>25</v>
      </c>
      <c r="O287" s="60" t="s">
        <v>694</v>
      </c>
      <c r="P287" s="61" t="s">
        <v>97</v>
      </c>
    </row>
    <row r="288">
      <c r="A288" s="33">
        <v>34.0</v>
      </c>
      <c r="B288" s="34">
        <v>34.0</v>
      </c>
      <c r="C288" s="34" t="str">
        <f>IFERROR(__xludf.DUMMYFUNCTION("if(B288&lt;=999,if(B288&lt;=99,IF(B288&lt;=9,join(,""000"",B288),join(,""00"",B288)),join(,""0"",B288)),B288)"),"0034")</f>
        <v>0034</v>
      </c>
      <c r="D288" s="35" t="s">
        <v>695</v>
      </c>
      <c r="E288" s="34" t="s">
        <v>20</v>
      </c>
      <c r="F288" s="34" t="str">
        <f t="shared" ref="F288:F290" si="5">VLOOKUP(C288,'Copy of Form Responses; CCTV Infra 1'!$G$2:$I$675,2,false)</f>
        <v>#REF!</v>
      </c>
      <c r="G288" s="34" t="str">
        <f t="shared" ref="G288:G290" si="6">VLOOKUP(C288,'Copy of Form Responses; CCTV Infra 1'!$G$2:$I$675,3,false)</f>
        <v>#REF!</v>
      </c>
      <c r="H288" s="36" t="s">
        <v>21</v>
      </c>
      <c r="I288" s="37" t="s">
        <v>34</v>
      </c>
      <c r="J288" s="36" t="s">
        <v>35</v>
      </c>
      <c r="K288" s="38"/>
      <c r="L288" s="42"/>
      <c r="M288" s="38" t="s">
        <v>696</v>
      </c>
      <c r="N288" s="38"/>
      <c r="O288" s="38"/>
      <c r="P288" s="39" t="s">
        <v>697</v>
      </c>
    </row>
    <row r="289">
      <c r="A289" s="51">
        <v>914.0</v>
      </c>
      <c r="B289" s="51">
        <v>914.0</v>
      </c>
      <c r="C289" s="34" t="str">
        <f>IFERROR(__xludf.DUMMYFUNCTION("if(B289&lt;=999,if(B289&lt;=99,IF(B289&lt;=9,join(,""000"",B289),join(,""00"",B289)),join(,""0"",B289)),B289)"),"0914")</f>
        <v>0914</v>
      </c>
      <c r="D289" s="52" t="s">
        <v>698</v>
      </c>
      <c r="E289" s="53" t="s">
        <v>20</v>
      </c>
      <c r="F289" s="34" t="str">
        <f t="shared" si="5"/>
        <v>#REF!</v>
      </c>
      <c r="G289" s="34" t="str">
        <f t="shared" si="6"/>
        <v>#REF!</v>
      </c>
      <c r="H289" s="54" t="s">
        <v>21</v>
      </c>
      <c r="I289" s="37" t="s">
        <v>22</v>
      </c>
      <c r="J289" s="54" t="s">
        <v>20</v>
      </c>
      <c r="K289" s="42" t="s">
        <v>381</v>
      </c>
      <c r="L289" s="42" t="s">
        <v>699</v>
      </c>
      <c r="M289" s="38">
        <v>82.0</v>
      </c>
      <c r="N289" s="42" t="s">
        <v>25</v>
      </c>
      <c r="O289" s="42" t="s">
        <v>55</v>
      </c>
      <c r="P289" s="43" t="s">
        <v>97</v>
      </c>
    </row>
    <row r="290">
      <c r="A290" s="51">
        <v>241.0</v>
      </c>
      <c r="B290" s="51">
        <v>241.0</v>
      </c>
      <c r="C290" s="34" t="str">
        <f>IFERROR(__xludf.DUMMYFUNCTION("if(B290&lt;=999,if(B290&lt;=99,IF(B290&lt;=9,join(,""000"",B290),join(,""00"",B290)),join(,""0"",B290)),B290)"),"0241")</f>
        <v>0241</v>
      </c>
      <c r="D290" s="52" t="s">
        <v>700</v>
      </c>
      <c r="E290" s="53" t="s">
        <v>20</v>
      </c>
      <c r="F290" s="34" t="str">
        <f t="shared" si="5"/>
        <v>#REF!</v>
      </c>
      <c r="G290" s="34" t="str">
        <f t="shared" si="6"/>
        <v>#REF!</v>
      </c>
      <c r="H290" s="54" t="s">
        <v>21</v>
      </c>
      <c r="I290" s="81" t="s">
        <v>99</v>
      </c>
      <c r="J290" s="54" t="s">
        <v>35</v>
      </c>
      <c r="K290" s="42"/>
      <c r="L290" s="42"/>
      <c r="M290" s="38">
        <v>16.0</v>
      </c>
      <c r="N290" s="42"/>
      <c r="O290" s="42"/>
      <c r="P290" s="43" t="s">
        <v>43</v>
      </c>
    </row>
    <row r="291">
      <c r="A291" s="51">
        <v>495.0</v>
      </c>
      <c r="B291" s="51">
        <v>495.0</v>
      </c>
      <c r="C291" s="34" t="str">
        <f>IFERROR(__xludf.DUMMYFUNCTION("if(B291&lt;=999,if(B291&lt;=99,IF(B291&lt;=9,join(,""000"",B291),join(,""00"",B291)),join(,""0"",B291)),B291)"),"0495")</f>
        <v>0495</v>
      </c>
      <c r="D291" s="52" t="s">
        <v>701</v>
      </c>
      <c r="E291" s="53" t="s">
        <v>20</v>
      </c>
      <c r="F291" s="34" t="s">
        <v>702</v>
      </c>
      <c r="G291" s="87">
        <v>7.007654437E9</v>
      </c>
      <c r="H291" s="54" t="s">
        <v>21</v>
      </c>
      <c r="I291" s="37" t="s">
        <v>77</v>
      </c>
      <c r="J291" s="54" t="s">
        <v>20</v>
      </c>
      <c r="K291" s="36" t="s">
        <v>95</v>
      </c>
      <c r="L291" s="36" t="s">
        <v>703</v>
      </c>
      <c r="M291" s="38">
        <v>123.0</v>
      </c>
      <c r="N291" s="42" t="s">
        <v>25</v>
      </c>
      <c r="O291" s="42" t="s">
        <v>25</v>
      </c>
      <c r="P291" s="43"/>
    </row>
    <row r="292">
      <c r="A292" s="51">
        <v>79.0</v>
      </c>
      <c r="B292" s="51">
        <v>79.0</v>
      </c>
      <c r="C292" s="34" t="str">
        <f>IFERROR(__xludf.DUMMYFUNCTION("if(B292&lt;=999,if(B292&lt;=99,IF(B292&lt;=9,join(,""000"",B292),join(,""00"",B292)),join(,""0"",B292)),B292)"),"0079")</f>
        <v>0079</v>
      </c>
      <c r="D292" s="52" t="s">
        <v>704</v>
      </c>
      <c r="E292" s="53" t="s">
        <v>20</v>
      </c>
      <c r="F292" s="34" t="s">
        <v>705</v>
      </c>
      <c r="G292" s="34">
        <v>9.696203915E9</v>
      </c>
      <c r="H292" s="54" t="s">
        <v>21</v>
      </c>
      <c r="I292" s="81" t="s">
        <v>99</v>
      </c>
      <c r="J292" s="54" t="s">
        <v>20</v>
      </c>
      <c r="K292" s="42" t="s">
        <v>706</v>
      </c>
      <c r="L292" s="42" t="s">
        <v>707</v>
      </c>
      <c r="M292" s="38" t="e">
        <v>#N/A</v>
      </c>
      <c r="N292" s="42" t="s">
        <v>708</v>
      </c>
      <c r="O292" s="42" t="s">
        <v>709</v>
      </c>
      <c r="P292" s="43" t="s">
        <v>97</v>
      </c>
    </row>
    <row r="293">
      <c r="A293" s="51">
        <v>1226.0</v>
      </c>
      <c r="B293" s="51">
        <v>1226.0</v>
      </c>
      <c r="C293" s="34">
        <f>IFERROR(__xludf.DUMMYFUNCTION("if(B293&lt;=999,if(B293&lt;=99,IF(B293&lt;=9,join(,""000"",B293),join(,""00"",B293)),join(,""0"",B293)),B293)"),1226.0)</f>
        <v>1226</v>
      </c>
      <c r="D293" s="52" t="s">
        <v>710</v>
      </c>
      <c r="E293" s="53" t="s">
        <v>20</v>
      </c>
      <c r="F293" s="34" t="s">
        <v>705</v>
      </c>
      <c r="G293" s="34">
        <v>9.696203915E9</v>
      </c>
      <c r="H293" s="54" t="s">
        <v>21</v>
      </c>
      <c r="I293" s="81" t="s">
        <v>99</v>
      </c>
      <c r="J293" s="54" t="s">
        <v>20</v>
      </c>
      <c r="K293" s="42" t="s">
        <v>706</v>
      </c>
      <c r="L293" s="42" t="s">
        <v>707</v>
      </c>
      <c r="M293" s="38" t="e">
        <v>#N/A</v>
      </c>
      <c r="N293" s="42" t="s">
        <v>708</v>
      </c>
      <c r="O293" s="42" t="s">
        <v>709</v>
      </c>
      <c r="P293" s="43" t="s">
        <v>97</v>
      </c>
    </row>
    <row r="294">
      <c r="A294" s="33">
        <v>1347.0</v>
      </c>
      <c r="B294" s="34">
        <v>1347.0</v>
      </c>
      <c r="C294" s="34">
        <f>IFERROR(__xludf.DUMMYFUNCTION("if(B294&lt;=999,if(B294&lt;=99,IF(B294&lt;=9,join(,""000"",B294),join(,""00"",B294)),join(,""0"",B294)),B294)"),1347.0)</f>
        <v>1347</v>
      </c>
      <c r="D294" s="35" t="s">
        <v>711</v>
      </c>
      <c r="E294" s="53" t="s">
        <v>20</v>
      </c>
      <c r="F294" s="34" t="str">
        <f t="shared" ref="F294:F330" si="7">VLOOKUP(C294,'Copy of Form Responses; CCTV Infra 1'!$G$2:$I$675,2,false)</f>
        <v>#REF!</v>
      </c>
      <c r="G294" s="34" t="str">
        <f t="shared" ref="G294:G330" si="8">VLOOKUP(C294,'Copy of Form Responses; CCTV Infra 1'!$G$2:$I$675,3,false)</f>
        <v>#REF!</v>
      </c>
      <c r="H294" s="36" t="s">
        <v>21</v>
      </c>
      <c r="I294" s="37" t="s">
        <v>22</v>
      </c>
      <c r="J294" s="36" t="s">
        <v>35</v>
      </c>
      <c r="K294" s="38"/>
      <c r="L294" s="42"/>
      <c r="M294" s="38" t="e">
        <v>#N/A</v>
      </c>
      <c r="N294" s="38"/>
      <c r="O294" s="38"/>
      <c r="P294" s="39" t="s">
        <v>712</v>
      </c>
    </row>
    <row r="295">
      <c r="A295" s="51">
        <v>759.0</v>
      </c>
      <c r="B295" s="51">
        <v>759.0</v>
      </c>
      <c r="C295" s="34" t="str">
        <f>IFERROR(__xludf.DUMMYFUNCTION("if(B295&lt;=999,if(B295&lt;=99,IF(B295&lt;=9,join(,""000"",B295),join(,""00"",B295)),join(,""0"",B295)),B295)"),"0759")</f>
        <v>0759</v>
      </c>
      <c r="D295" s="52" t="s">
        <v>713</v>
      </c>
      <c r="E295" s="53" t="s">
        <v>20</v>
      </c>
      <c r="F295" s="34" t="str">
        <f t="shared" si="7"/>
        <v>#REF!</v>
      </c>
      <c r="G295" s="34" t="str">
        <f t="shared" si="8"/>
        <v>#REF!</v>
      </c>
      <c r="H295" s="54" t="s">
        <v>21</v>
      </c>
      <c r="I295" s="37" t="s">
        <v>22</v>
      </c>
      <c r="J295" s="54" t="s">
        <v>35</v>
      </c>
      <c r="K295" s="42"/>
      <c r="L295" s="42"/>
      <c r="M295" s="38">
        <v>37777.0</v>
      </c>
      <c r="N295" s="42"/>
      <c r="O295" s="42"/>
      <c r="P295" s="43" t="s">
        <v>714</v>
      </c>
    </row>
    <row r="296">
      <c r="A296" s="33">
        <v>63.0</v>
      </c>
      <c r="B296" s="34">
        <v>63.0</v>
      </c>
      <c r="C296" s="34" t="str">
        <f>IFERROR(__xludf.DUMMYFUNCTION("if(B296&lt;=999,if(B296&lt;=99,IF(B296&lt;=9,join(,""000"",B296),join(,""00"",B296)),join(,""0"",B296)),B296)"),"0063")</f>
        <v>0063</v>
      </c>
      <c r="D296" s="35" t="s">
        <v>715</v>
      </c>
      <c r="E296" s="34" t="s">
        <v>20</v>
      </c>
      <c r="F296" s="34" t="str">
        <f t="shared" si="7"/>
        <v>#REF!</v>
      </c>
      <c r="G296" s="34" t="str">
        <f t="shared" si="8"/>
        <v>#REF!</v>
      </c>
      <c r="H296" s="36" t="s">
        <v>21</v>
      </c>
      <c r="I296" s="37" t="s">
        <v>77</v>
      </c>
      <c r="J296" s="36" t="s">
        <v>20</v>
      </c>
      <c r="K296" s="38" t="s">
        <v>137</v>
      </c>
      <c r="L296" s="38" t="s">
        <v>716</v>
      </c>
      <c r="M296" s="38" t="s">
        <v>717</v>
      </c>
      <c r="N296" s="38" t="s">
        <v>25</v>
      </c>
      <c r="O296" s="38" t="s">
        <v>55</v>
      </c>
      <c r="P296" s="39" t="s">
        <v>56</v>
      </c>
    </row>
    <row r="297">
      <c r="A297" s="51">
        <v>808.0</v>
      </c>
      <c r="B297" s="51">
        <v>808.0</v>
      </c>
      <c r="C297" s="34" t="str">
        <f>IFERROR(__xludf.DUMMYFUNCTION("if(B297&lt;=999,if(B297&lt;=99,IF(B297&lt;=9,join(,""000"",B297),join(,""00"",B297)),join(,""0"",B297)),B297)"),"0808")</f>
        <v>0808</v>
      </c>
      <c r="D297" s="52" t="s">
        <v>718</v>
      </c>
      <c r="E297" s="53" t="s">
        <v>20</v>
      </c>
      <c r="F297" s="34" t="str">
        <f t="shared" si="7"/>
        <v>#REF!</v>
      </c>
      <c r="G297" s="34" t="str">
        <f t="shared" si="8"/>
        <v>#REF!</v>
      </c>
      <c r="H297" s="54" t="s">
        <v>21</v>
      </c>
      <c r="I297" s="81" t="s">
        <v>101</v>
      </c>
      <c r="J297" s="54" t="s">
        <v>20</v>
      </c>
      <c r="K297" s="42"/>
      <c r="L297" s="42"/>
      <c r="M297" s="38">
        <v>16.0</v>
      </c>
      <c r="N297" s="42"/>
      <c r="O297" s="42"/>
      <c r="P297" s="43" t="s">
        <v>714</v>
      </c>
    </row>
    <row r="298">
      <c r="A298" s="51">
        <v>1047.0</v>
      </c>
      <c r="B298" s="51">
        <v>1047.0</v>
      </c>
      <c r="C298" s="34">
        <f>IFERROR(__xludf.DUMMYFUNCTION("if(B298&lt;=999,if(B298&lt;=99,IF(B298&lt;=9,join(,""000"",B298),join(,""00"",B298)),join(,""0"",B298)),B298)"),1047.0)</f>
        <v>1047</v>
      </c>
      <c r="D298" s="52" t="s">
        <v>719</v>
      </c>
      <c r="E298" s="53" t="s">
        <v>20</v>
      </c>
      <c r="F298" s="34" t="str">
        <f t="shared" si="7"/>
        <v>#REF!</v>
      </c>
      <c r="G298" s="34" t="str">
        <f t="shared" si="8"/>
        <v>#REF!</v>
      </c>
      <c r="H298" s="54" t="s">
        <v>21</v>
      </c>
      <c r="I298" s="37" t="s">
        <v>22</v>
      </c>
      <c r="J298" s="54" t="s">
        <v>35</v>
      </c>
      <c r="K298" s="42"/>
      <c r="L298" s="42"/>
      <c r="M298" s="38" t="s">
        <v>720</v>
      </c>
      <c r="N298" s="42"/>
      <c r="O298" s="42"/>
      <c r="P298" s="43" t="s">
        <v>43</v>
      </c>
    </row>
    <row r="299">
      <c r="A299" s="51">
        <v>247.0</v>
      </c>
      <c r="B299" s="51">
        <v>247.0</v>
      </c>
      <c r="C299" s="34" t="str">
        <f>IFERROR(__xludf.DUMMYFUNCTION("if(B299&lt;=999,if(B299&lt;=99,IF(B299&lt;=9,join(,""000"",B299),join(,""00"",B299)),join(,""0"",B299)),B299)"),"0247")</f>
        <v>0247</v>
      </c>
      <c r="D299" s="52" t="s">
        <v>721</v>
      </c>
      <c r="E299" s="53" t="s">
        <v>20</v>
      </c>
      <c r="F299" s="34" t="str">
        <f t="shared" si="7"/>
        <v>#REF!</v>
      </c>
      <c r="G299" s="34" t="str">
        <f t="shared" si="8"/>
        <v>#REF!</v>
      </c>
      <c r="H299" s="54" t="s">
        <v>21</v>
      </c>
      <c r="I299" s="81" t="s">
        <v>77</v>
      </c>
      <c r="J299" s="54" t="s">
        <v>35</v>
      </c>
      <c r="K299" s="42"/>
      <c r="L299" s="42"/>
      <c r="M299" s="38" t="s">
        <v>722</v>
      </c>
      <c r="N299" s="42"/>
      <c r="O299" s="42"/>
      <c r="P299" s="43" t="s">
        <v>43</v>
      </c>
    </row>
    <row r="300">
      <c r="A300" s="51">
        <v>75.0</v>
      </c>
      <c r="B300" s="51">
        <v>75.0</v>
      </c>
      <c r="C300" s="34" t="str">
        <f>IFERROR(__xludf.DUMMYFUNCTION("if(B300&lt;=999,if(B300&lt;=99,IF(B300&lt;=9,join(,""000"",B300),join(,""00"",B300)),join(,""0"",B300)),B300)"),"0075")</f>
        <v>0075</v>
      </c>
      <c r="D300" s="52" t="s">
        <v>723</v>
      </c>
      <c r="E300" s="53" t="s">
        <v>20</v>
      </c>
      <c r="F300" s="34" t="str">
        <f t="shared" si="7"/>
        <v>#REF!</v>
      </c>
      <c r="G300" s="34" t="str">
        <f t="shared" si="8"/>
        <v>#REF!</v>
      </c>
      <c r="H300" s="54" t="s">
        <v>21</v>
      </c>
      <c r="I300" s="81" t="s">
        <v>117</v>
      </c>
      <c r="J300" s="54" t="s">
        <v>20</v>
      </c>
      <c r="K300" s="59" t="s">
        <v>95</v>
      </c>
      <c r="L300" s="42" t="s">
        <v>724</v>
      </c>
      <c r="M300" s="38"/>
      <c r="N300" s="42" t="s">
        <v>25</v>
      </c>
      <c r="O300" s="42" t="s">
        <v>55</v>
      </c>
      <c r="P300" s="43" t="s">
        <v>97</v>
      </c>
    </row>
    <row r="301">
      <c r="A301" s="51">
        <v>312.0</v>
      </c>
      <c r="B301" s="51">
        <v>312.0</v>
      </c>
      <c r="C301" s="34" t="str">
        <f>IFERROR(__xludf.DUMMYFUNCTION("if(B301&lt;=999,if(B301&lt;=99,IF(B301&lt;=9,join(,""000"",B301),join(,""00"",B301)),join(,""0"",B301)),B301)"),"0312")</f>
        <v>0312</v>
      </c>
      <c r="D301" s="52" t="s">
        <v>725</v>
      </c>
      <c r="E301" s="53" t="s">
        <v>20</v>
      </c>
      <c r="F301" s="34" t="str">
        <f t="shared" si="7"/>
        <v>#REF!</v>
      </c>
      <c r="G301" s="34" t="str">
        <f t="shared" si="8"/>
        <v>#REF!</v>
      </c>
      <c r="H301" s="54" t="s">
        <v>21</v>
      </c>
      <c r="I301" s="37" t="s">
        <v>117</v>
      </c>
      <c r="J301" s="54" t="s">
        <v>20</v>
      </c>
      <c r="K301" s="59" t="s">
        <v>95</v>
      </c>
      <c r="L301" s="42" t="s">
        <v>724</v>
      </c>
      <c r="M301" s="38"/>
      <c r="N301" s="42" t="s">
        <v>25</v>
      </c>
      <c r="O301" s="42" t="s">
        <v>55</v>
      </c>
      <c r="P301" s="43" t="s">
        <v>97</v>
      </c>
    </row>
    <row r="302">
      <c r="A302" s="55">
        <v>1312.0</v>
      </c>
      <c r="B302" s="55">
        <v>1312.0</v>
      </c>
      <c r="C302" s="45">
        <f>IFERROR(__xludf.DUMMYFUNCTION("if(B302&lt;=999,if(B302&lt;=99,IF(B302&lt;=9,join(,""000"",B302),join(,""00"",B302)),join(,""0"",B302)),B302)"),1312.0)</f>
        <v>1312</v>
      </c>
      <c r="D302" s="56" t="s">
        <v>726</v>
      </c>
      <c r="E302" s="55" t="s">
        <v>20</v>
      </c>
      <c r="F302" s="45" t="str">
        <f t="shared" si="7"/>
        <v>#REF!</v>
      </c>
      <c r="G302" s="45" t="str">
        <f t="shared" si="8"/>
        <v>#REF!</v>
      </c>
      <c r="H302" s="57" t="s">
        <v>21</v>
      </c>
      <c r="I302" s="48" t="s">
        <v>22</v>
      </c>
      <c r="J302" s="57" t="s">
        <v>35</v>
      </c>
      <c r="K302" s="60" t="s">
        <v>727</v>
      </c>
      <c r="L302" s="60" t="s">
        <v>728</v>
      </c>
      <c r="M302" s="49">
        <v>800.0</v>
      </c>
      <c r="N302" s="62" t="s">
        <v>104</v>
      </c>
      <c r="O302" s="62" t="s">
        <v>86</v>
      </c>
      <c r="P302" s="61" t="s">
        <v>729</v>
      </c>
    </row>
    <row r="303">
      <c r="A303" s="51">
        <v>35.0</v>
      </c>
      <c r="B303" s="51">
        <v>35.0</v>
      </c>
      <c r="C303" s="34" t="str">
        <f>IFERROR(__xludf.DUMMYFUNCTION("if(B303&lt;=999,if(B303&lt;=99,IF(B303&lt;=9,join(,""000"",B303),join(,""00"",B303)),join(,""0"",B303)),B303)"),"0035")</f>
        <v>0035</v>
      </c>
      <c r="D303" s="52" t="s">
        <v>730</v>
      </c>
      <c r="E303" s="53" t="s">
        <v>20</v>
      </c>
      <c r="F303" s="34" t="str">
        <f t="shared" si="7"/>
        <v>#REF!</v>
      </c>
      <c r="G303" s="34" t="str">
        <f t="shared" si="8"/>
        <v>#REF!</v>
      </c>
      <c r="H303" s="54" t="s">
        <v>21</v>
      </c>
      <c r="I303" s="81" t="s">
        <v>101</v>
      </c>
      <c r="J303" s="54" t="s">
        <v>20</v>
      </c>
      <c r="K303" s="42"/>
      <c r="L303" s="42"/>
      <c r="M303" s="38">
        <v>20.0</v>
      </c>
      <c r="N303" s="42"/>
      <c r="O303" s="42"/>
      <c r="P303" s="43" t="s">
        <v>731</v>
      </c>
    </row>
    <row r="304">
      <c r="A304" s="51">
        <v>821.0</v>
      </c>
      <c r="B304" s="51">
        <v>821.0</v>
      </c>
      <c r="C304" s="34" t="str">
        <f>IFERROR(__xludf.DUMMYFUNCTION("if(B304&lt;=999,if(B304&lt;=99,IF(B304&lt;=9,join(,""000"",B304),join(,""00"",B304)),join(,""0"",B304)),B304)"),"0821")</f>
        <v>0821</v>
      </c>
      <c r="D304" s="52" t="s">
        <v>732</v>
      </c>
      <c r="E304" s="53" t="s">
        <v>35</v>
      </c>
      <c r="F304" s="34" t="str">
        <f t="shared" si="7"/>
        <v>#REF!</v>
      </c>
      <c r="G304" s="34" t="str">
        <f t="shared" si="8"/>
        <v>#REF!</v>
      </c>
      <c r="H304" s="54" t="s">
        <v>21</v>
      </c>
      <c r="I304" s="81"/>
      <c r="J304" s="54"/>
      <c r="K304" s="42"/>
      <c r="L304" s="42"/>
      <c r="M304" s="38" t="e">
        <v>#N/A</v>
      </c>
      <c r="N304" s="42"/>
      <c r="O304" s="42"/>
      <c r="P304" s="43"/>
    </row>
    <row r="305">
      <c r="A305" s="33">
        <v>1300.0</v>
      </c>
      <c r="B305" s="34">
        <v>1300.0</v>
      </c>
      <c r="C305" s="34">
        <f>IFERROR(__xludf.DUMMYFUNCTION("if(B305&lt;=999,if(B305&lt;=99,IF(B305&lt;=9,join(,""000"",B305),join(,""00"",B305)),join(,""0"",B305)),B305)"),1300.0)</f>
        <v>1300</v>
      </c>
      <c r="D305" s="35" t="s">
        <v>733</v>
      </c>
      <c r="E305" s="34" t="s">
        <v>20</v>
      </c>
      <c r="F305" s="34" t="str">
        <f t="shared" si="7"/>
        <v>#REF!</v>
      </c>
      <c r="G305" s="34" t="str">
        <f t="shared" si="8"/>
        <v>#REF!</v>
      </c>
      <c r="H305" s="36" t="s">
        <v>21</v>
      </c>
      <c r="I305" s="37" t="s">
        <v>22</v>
      </c>
      <c r="J305" s="36" t="s">
        <v>35</v>
      </c>
      <c r="K305" s="42" t="s">
        <v>95</v>
      </c>
      <c r="L305" s="36" t="s">
        <v>734</v>
      </c>
      <c r="M305" s="38">
        <v>25001.0</v>
      </c>
      <c r="N305" s="62" t="s">
        <v>735</v>
      </c>
      <c r="O305" s="62">
        <v>123456.0</v>
      </c>
      <c r="P305" s="43"/>
    </row>
    <row r="306">
      <c r="A306" s="51">
        <v>1219.0</v>
      </c>
      <c r="B306" s="51">
        <v>1219.0</v>
      </c>
      <c r="C306" s="34">
        <f>IFERROR(__xludf.DUMMYFUNCTION("if(B306&lt;=999,if(B306&lt;=99,IF(B306&lt;=9,join(,""000"",B306),join(,""00"",B306)),join(,""0"",B306)),B306)"),1219.0)</f>
        <v>1219</v>
      </c>
      <c r="D306" s="52" t="s">
        <v>736</v>
      </c>
      <c r="E306" s="53" t="s">
        <v>35</v>
      </c>
      <c r="F306" s="34" t="str">
        <f t="shared" si="7"/>
        <v>#REF!</v>
      </c>
      <c r="G306" s="34" t="str">
        <f t="shared" si="8"/>
        <v>#REF!</v>
      </c>
      <c r="H306" s="54" t="s">
        <v>21</v>
      </c>
      <c r="I306" s="81"/>
      <c r="J306" s="54"/>
      <c r="K306" s="42"/>
      <c r="L306" s="42"/>
      <c r="M306" s="38" t="e">
        <v>#N/A</v>
      </c>
      <c r="N306" s="42"/>
      <c r="O306" s="42"/>
      <c r="P306" s="43"/>
    </row>
    <row r="307">
      <c r="A307" s="51">
        <v>1139.0</v>
      </c>
      <c r="B307" s="51">
        <v>1139.0</v>
      </c>
      <c r="C307" s="34">
        <f>IFERROR(__xludf.DUMMYFUNCTION("if(B307&lt;=999,if(B307&lt;=99,IF(B307&lt;=9,join(,""000"",B307),join(,""00"",B307)),join(,""0"",B307)),B307)"),1139.0)</f>
        <v>1139</v>
      </c>
      <c r="D307" s="52" t="s">
        <v>737</v>
      </c>
      <c r="E307" s="53" t="s">
        <v>20</v>
      </c>
      <c r="F307" s="34" t="str">
        <f t="shared" si="7"/>
        <v>#REF!</v>
      </c>
      <c r="G307" s="34" t="str">
        <f t="shared" si="8"/>
        <v>#REF!</v>
      </c>
      <c r="H307" s="54" t="s">
        <v>21</v>
      </c>
      <c r="I307" s="37" t="s">
        <v>22</v>
      </c>
      <c r="J307" s="54" t="s">
        <v>20</v>
      </c>
      <c r="K307" s="63" t="s">
        <v>360</v>
      </c>
      <c r="L307" s="63" t="s">
        <v>738</v>
      </c>
      <c r="M307" s="38">
        <v>2501.0</v>
      </c>
      <c r="N307" s="63" t="s">
        <v>25</v>
      </c>
      <c r="O307" s="63" t="s">
        <v>86</v>
      </c>
      <c r="P307" s="63" t="s">
        <v>82</v>
      </c>
    </row>
    <row r="308">
      <c r="A308" s="45">
        <v>784.0</v>
      </c>
      <c r="B308" s="45">
        <v>784.0</v>
      </c>
      <c r="C308" s="45" t="str">
        <f>IFERROR(__xludf.DUMMYFUNCTION("if(B308&lt;=999,if(B308&lt;=99,IF(B308&lt;=9,join(,""000"",B308),join(,""00"",B308)),join(,""0"",B308)),B308)"),"0784")</f>
        <v>0784</v>
      </c>
      <c r="D308" s="46" t="s">
        <v>739</v>
      </c>
      <c r="E308" s="45" t="s">
        <v>20</v>
      </c>
      <c r="F308" s="45" t="str">
        <f t="shared" si="7"/>
        <v>#REF!</v>
      </c>
      <c r="G308" s="45" t="str">
        <f t="shared" si="8"/>
        <v>#REF!</v>
      </c>
      <c r="H308" s="47" t="s">
        <v>21</v>
      </c>
      <c r="I308" s="48" t="s">
        <v>101</v>
      </c>
      <c r="J308" s="47"/>
      <c r="K308" s="49"/>
      <c r="L308" s="49" t="s">
        <v>740</v>
      </c>
      <c r="M308" s="49">
        <v>8025001.0</v>
      </c>
      <c r="N308" s="49"/>
      <c r="O308" s="49"/>
      <c r="P308" s="61" t="s">
        <v>729</v>
      </c>
    </row>
    <row r="309">
      <c r="A309" s="33">
        <v>1306.0</v>
      </c>
      <c r="B309" s="34">
        <v>1306.0</v>
      </c>
      <c r="C309" s="34">
        <f>IFERROR(__xludf.DUMMYFUNCTION("if(B309&lt;=999,if(B309&lt;=99,IF(B309&lt;=9,join(,""000"",B309),join(,""00"",B309)),join(,""0"",B309)),B309)"),1306.0)</f>
        <v>1306</v>
      </c>
      <c r="D309" s="35" t="s">
        <v>741</v>
      </c>
      <c r="E309" s="34" t="s">
        <v>20</v>
      </c>
      <c r="F309" s="34" t="str">
        <f t="shared" si="7"/>
        <v>#REF!</v>
      </c>
      <c r="G309" s="34" t="str">
        <f t="shared" si="8"/>
        <v>#REF!</v>
      </c>
      <c r="H309" s="36" t="s">
        <v>21</v>
      </c>
      <c r="I309" s="37" t="s">
        <v>73</v>
      </c>
      <c r="J309" s="36" t="s">
        <v>35</v>
      </c>
      <c r="K309" s="42" t="s">
        <v>95</v>
      </c>
      <c r="L309" s="88" t="s">
        <v>742</v>
      </c>
      <c r="M309" s="38">
        <v>16.0</v>
      </c>
      <c r="N309" s="42" t="s">
        <v>25</v>
      </c>
      <c r="O309" s="42" t="s">
        <v>743</v>
      </c>
      <c r="P309" s="43" t="s">
        <v>82</v>
      </c>
    </row>
    <row r="310">
      <c r="A310" s="51">
        <v>1218.0</v>
      </c>
      <c r="B310" s="51">
        <v>1218.0</v>
      </c>
      <c r="C310" s="34">
        <f>IFERROR(__xludf.DUMMYFUNCTION("if(B310&lt;=999,if(B310&lt;=99,IF(B310&lt;=9,join(,""000"",B310),join(,""00"",B310)),join(,""0"",B310)),B310)"),1218.0)</f>
        <v>1218</v>
      </c>
      <c r="D310" s="52" t="s">
        <v>744</v>
      </c>
      <c r="E310" s="53" t="s">
        <v>20</v>
      </c>
      <c r="F310" s="34" t="str">
        <f t="shared" si="7"/>
        <v>#REF!</v>
      </c>
      <c r="G310" s="34" t="str">
        <f t="shared" si="8"/>
        <v>#REF!</v>
      </c>
      <c r="H310" s="54" t="s">
        <v>21</v>
      </c>
      <c r="I310" s="37" t="s">
        <v>745</v>
      </c>
      <c r="J310" s="54" t="s">
        <v>20</v>
      </c>
      <c r="K310" s="42" t="s">
        <v>95</v>
      </c>
      <c r="L310" s="88" t="s">
        <v>742</v>
      </c>
      <c r="M310" s="38">
        <v>16.0</v>
      </c>
      <c r="N310" s="42" t="s">
        <v>25</v>
      </c>
      <c r="O310" s="42" t="s">
        <v>743</v>
      </c>
      <c r="P310" s="43" t="s">
        <v>82</v>
      </c>
    </row>
    <row r="311" ht="18.75" customHeight="1">
      <c r="A311" s="51">
        <v>16.0</v>
      </c>
      <c r="B311" s="51">
        <v>16.0</v>
      </c>
      <c r="C311" s="34" t="str">
        <f>IFERROR(__xludf.DUMMYFUNCTION("if(B311&lt;=999,if(B311&lt;=99,IF(B311&lt;=9,join(,""000"",B311),join(,""00"",B311)),join(,""0"",B311)),B311)"),"0016")</f>
        <v>0016</v>
      </c>
      <c r="D311" s="52" t="s">
        <v>746</v>
      </c>
      <c r="E311" s="53" t="s">
        <v>20</v>
      </c>
      <c r="F311" s="34" t="str">
        <f t="shared" si="7"/>
        <v>#REF!</v>
      </c>
      <c r="G311" s="34" t="str">
        <f t="shared" si="8"/>
        <v>#REF!</v>
      </c>
      <c r="H311" s="54" t="s">
        <v>21</v>
      </c>
      <c r="I311" s="37" t="s">
        <v>99</v>
      </c>
      <c r="J311" s="54" t="s">
        <v>20</v>
      </c>
      <c r="K311" s="36" t="s">
        <v>747</v>
      </c>
      <c r="L311" s="62" t="s">
        <v>748</v>
      </c>
      <c r="M311" s="38" t="s">
        <v>749</v>
      </c>
      <c r="N311" s="62" t="s">
        <v>25</v>
      </c>
      <c r="O311" s="62">
        <v>12345.0</v>
      </c>
      <c r="P311" s="43" t="s">
        <v>82</v>
      </c>
    </row>
    <row r="312" ht="19.5" customHeight="1">
      <c r="A312" s="51">
        <v>1646.0</v>
      </c>
      <c r="B312" s="51">
        <v>1646.0</v>
      </c>
      <c r="C312" s="34">
        <f>IFERROR(__xludf.DUMMYFUNCTION("if(B312&lt;=999,if(B312&lt;=99,IF(B312&lt;=9,join(,""000"",B312),join(,""00"",B312)),join(,""0"",B312)),B312)"),1646.0)</f>
        <v>1646</v>
      </c>
      <c r="D312" s="52" t="s">
        <v>750</v>
      </c>
      <c r="E312" s="53" t="s">
        <v>20</v>
      </c>
      <c r="F312" s="34" t="str">
        <f t="shared" si="7"/>
        <v>#REF!</v>
      </c>
      <c r="G312" s="34" t="str">
        <f t="shared" si="8"/>
        <v>#REF!</v>
      </c>
      <c r="H312" s="54" t="s">
        <v>21</v>
      </c>
      <c r="I312" s="37" t="s">
        <v>22</v>
      </c>
      <c r="J312" s="54" t="s">
        <v>20</v>
      </c>
      <c r="K312" s="36" t="s">
        <v>751</v>
      </c>
      <c r="L312" s="36" t="s">
        <v>122</v>
      </c>
      <c r="M312" s="38" t="s">
        <v>752</v>
      </c>
      <c r="N312" s="62" t="s">
        <v>25</v>
      </c>
      <c r="O312" s="62">
        <v>12345.0</v>
      </c>
      <c r="P312" s="43" t="s">
        <v>1</v>
      </c>
    </row>
    <row r="313">
      <c r="A313" s="51">
        <v>1138.0</v>
      </c>
      <c r="B313" s="51">
        <v>1138.0</v>
      </c>
      <c r="C313" s="34">
        <f>IFERROR(__xludf.DUMMYFUNCTION("if(B313&lt;=999,if(B313&lt;=99,IF(B313&lt;=9,join(,""000"",B313),join(,""00"",B313)),join(,""0"",B313)),B313)"),1138.0)</f>
        <v>1138</v>
      </c>
      <c r="D313" s="52" t="s">
        <v>753</v>
      </c>
      <c r="E313" s="53" t="s">
        <v>20</v>
      </c>
      <c r="F313" s="34" t="str">
        <f t="shared" si="7"/>
        <v>#REF!</v>
      </c>
      <c r="G313" s="34" t="str">
        <f t="shared" si="8"/>
        <v>#REF!</v>
      </c>
      <c r="H313" s="54" t="s">
        <v>21</v>
      </c>
      <c r="I313" s="37" t="s">
        <v>22</v>
      </c>
      <c r="J313" s="54" t="s">
        <v>35</v>
      </c>
      <c r="K313" s="63"/>
      <c r="L313" s="42"/>
      <c r="M313" s="38">
        <v>80.0</v>
      </c>
      <c r="N313" s="63"/>
      <c r="O313" s="63"/>
      <c r="P313" s="63" t="s">
        <v>754</v>
      </c>
    </row>
    <row r="314">
      <c r="A314" s="51">
        <v>1109.0</v>
      </c>
      <c r="B314" s="51">
        <v>1109.0</v>
      </c>
      <c r="C314" s="34">
        <f>IFERROR(__xludf.DUMMYFUNCTION("if(B314&lt;=999,if(B314&lt;=99,IF(B314&lt;=9,join(,""000"",B314),join(,""00"",B314)),join(,""0"",B314)),B314)"),1109.0)</f>
        <v>1109</v>
      </c>
      <c r="D314" s="52" t="s">
        <v>755</v>
      </c>
      <c r="E314" s="53" t="s">
        <v>20</v>
      </c>
      <c r="F314" s="34" t="str">
        <f t="shared" si="7"/>
        <v>#REF!</v>
      </c>
      <c r="G314" s="34" t="str">
        <f t="shared" si="8"/>
        <v>#REF!</v>
      </c>
      <c r="H314" s="54" t="s">
        <v>21</v>
      </c>
      <c r="I314" s="37" t="s">
        <v>22</v>
      </c>
      <c r="J314" s="54" t="s">
        <v>35</v>
      </c>
      <c r="K314" s="63"/>
      <c r="L314" s="42"/>
      <c r="M314" s="38" t="e">
        <v>#N/A</v>
      </c>
      <c r="N314" s="63"/>
      <c r="O314" s="63"/>
      <c r="P314" s="63" t="s">
        <v>66</v>
      </c>
    </row>
    <row r="315">
      <c r="A315" s="33">
        <v>1016.0</v>
      </c>
      <c r="B315" s="34">
        <v>1016.0</v>
      </c>
      <c r="C315" s="34">
        <f>IFERROR(__xludf.DUMMYFUNCTION("if(B315&lt;=999,if(B315&lt;=99,IF(B315&lt;=9,join(,""000"",B315),join(,""00"",B315)),join(,""0"",B315)),B315)"),1016.0)</f>
        <v>1016</v>
      </c>
      <c r="D315" s="35" t="s">
        <v>756</v>
      </c>
      <c r="E315" s="34" t="s">
        <v>20</v>
      </c>
      <c r="F315" s="34" t="str">
        <f t="shared" si="7"/>
        <v>#REF!</v>
      </c>
      <c r="G315" s="34" t="str">
        <f t="shared" si="8"/>
        <v>#REF!</v>
      </c>
      <c r="H315" s="36" t="s">
        <v>21</v>
      </c>
      <c r="I315" s="37" t="s">
        <v>22</v>
      </c>
      <c r="J315" s="36" t="s">
        <v>35</v>
      </c>
      <c r="K315" s="38"/>
      <c r="L315" s="42"/>
      <c r="M315" s="38">
        <v>80.0</v>
      </c>
      <c r="N315" s="38"/>
      <c r="O315" s="38"/>
      <c r="P315" s="39" t="s">
        <v>362</v>
      </c>
    </row>
    <row r="316">
      <c r="A316" s="33">
        <v>1441.0</v>
      </c>
      <c r="B316" s="34">
        <v>1441.0</v>
      </c>
      <c r="C316" s="34">
        <f>IFERROR(__xludf.DUMMYFUNCTION("if(B316&lt;=999,if(B316&lt;=99,IF(B316&lt;=9,join(,""000"",B316),join(,""00"",B316)),join(,""0"",B316)),B316)"),1441.0)</f>
        <v>1441</v>
      </c>
      <c r="D316" s="35" t="s">
        <v>757</v>
      </c>
      <c r="E316" s="34" t="s">
        <v>20</v>
      </c>
      <c r="F316" s="34" t="str">
        <f t="shared" si="7"/>
        <v>#REF!</v>
      </c>
      <c r="G316" s="34" t="str">
        <f t="shared" si="8"/>
        <v>#REF!</v>
      </c>
      <c r="H316" s="36" t="s">
        <v>21</v>
      </c>
      <c r="I316" s="37" t="s">
        <v>63</v>
      </c>
      <c r="J316" s="36" t="s">
        <v>35</v>
      </c>
      <c r="K316" s="38" t="s">
        <v>511</v>
      </c>
      <c r="L316" s="38" t="s">
        <v>758</v>
      </c>
      <c r="M316" s="38" t="e">
        <v>#N/A</v>
      </c>
      <c r="N316" s="38" t="s">
        <v>25</v>
      </c>
      <c r="O316" s="38" t="s">
        <v>523</v>
      </c>
      <c r="P316" s="39" t="s">
        <v>66</v>
      </c>
    </row>
    <row r="317">
      <c r="A317" s="55">
        <v>1269.0</v>
      </c>
      <c r="B317" s="55">
        <v>1269.0</v>
      </c>
      <c r="C317" s="45">
        <f>IFERROR(__xludf.DUMMYFUNCTION("if(B317&lt;=999,if(B317&lt;=99,IF(B317&lt;=9,join(,""000"",B317),join(,""00"",B317)),join(,""0"",B317)),B317)"),1269.0)</f>
        <v>1269</v>
      </c>
      <c r="D317" s="56" t="s">
        <v>759</v>
      </c>
      <c r="E317" s="55" t="s">
        <v>20</v>
      </c>
      <c r="F317" s="45" t="str">
        <f t="shared" si="7"/>
        <v>#REF!</v>
      </c>
      <c r="G317" s="45" t="str">
        <f t="shared" si="8"/>
        <v>#REF!</v>
      </c>
      <c r="H317" s="57" t="s">
        <v>21</v>
      </c>
      <c r="I317" s="48" t="s">
        <v>60</v>
      </c>
      <c r="J317" s="57" t="s">
        <v>20</v>
      </c>
      <c r="K317" s="36" t="s">
        <v>760</v>
      </c>
      <c r="L317" s="71" t="s">
        <v>761</v>
      </c>
      <c r="M317" s="49">
        <v>80.0</v>
      </c>
      <c r="N317" s="62" t="s">
        <v>25</v>
      </c>
      <c r="O317" s="62" t="s">
        <v>762</v>
      </c>
      <c r="P317" s="71"/>
    </row>
    <row r="318">
      <c r="A318" s="51">
        <v>1439.0</v>
      </c>
      <c r="B318" s="51">
        <v>1439.0</v>
      </c>
      <c r="C318" s="34">
        <f>IFERROR(__xludf.DUMMYFUNCTION("if(B318&lt;=999,if(B318&lt;=99,IF(B318&lt;=9,join(,""000"",B318),join(,""00"",B318)),join(,""0"",B318)),B318)"),1439.0)</f>
        <v>1439</v>
      </c>
      <c r="D318" s="52" t="s">
        <v>763</v>
      </c>
      <c r="E318" s="53" t="s">
        <v>20</v>
      </c>
      <c r="F318" s="34" t="str">
        <f t="shared" si="7"/>
        <v>#REF!</v>
      </c>
      <c r="G318" s="34" t="str">
        <f t="shared" si="8"/>
        <v>#REF!</v>
      </c>
      <c r="H318" s="54" t="s">
        <v>21</v>
      </c>
      <c r="I318" s="37" t="s">
        <v>22</v>
      </c>
      <c r="J318" s="54" t="s">
        <v>20</v>
      </c>
      <c r="K318" s="42" t="s">
        <v>254</v>
      </c>
      <c r="L318" s="42" t="s">
        <v>764</v>
      </c>
      <c r="M318" s="38">
        <v>25.0</v>
      </c>
      <c r="N318" s="42" t="s">
        <v>25</v>
      </c>
      <c r="O318" s="42" t="s">
        <v>222</v>
      </c>
      <c r="P318" s="43" t="s">
        <v>97</v>
      </c>
    </row>
    <row r="319">
      <c r="A319" s="51">
        <v>1100.0</v>
      </c>
      <c r="B319" s="51">
        <v>1100.0</v>
      </c>
      <c r="C319" s="34">
        <f>IFERROR(__xludf.DUMMYFUNCTION("if(B319&lt;=999,if(B319&lt;=99,IF(B319&lt;=9,join(,""000"",B319),join(,""00"",B319)),join(,""0"",B319)),B319)"),1100.0)</f>
        <v>1100</v>
      </c>
      <c r="D319" s="52" t="s">
        <v>765</v>
      </c>
      <c r="E319" s="53" t="s">
        <v>20</v>
      </c>
      <c r="F319" s="34" t="str">
        <f t="shared" si="7"/>
        <v>#REF!</v>
      </c>
      <c r="G319" s="34" t="str">
        <f t="shared" si="8"/>
        <v>#REF!</v>
      </c>
      <c r="H319" s="54" t="s">
        <v>21</v>
      </c>
      <c r="I319" s="87" t="s">
        <v>22</v>
      </c>
      <c r="J319" s="54" t="s">
        <v>35</v>
      </c>
      <c r="K319" s="42"/>
      <c r="L319" s="42"/>
      <c r="M319" s="38">
        <v>36666.0</v>
      </c>
      <c r="N319" s="42"/>
      <c r="O319" s="42"/>
      <c r="P319" s="43" t="s">
        <v>43</v>
      </c>
    </row>
    <row r="320">
      <c r="A320" s="51">
        <v>1232.0</v>
      </c>
      <c r="B320" s="51">
        <v>1232.0</v>
      </c>
      <c r="C320" s="34">
        <f>IFERROR(__xludf.DUMMYFUNCTION("if(B320&lt;=999,if(B320&lt;=99,IF(B320&lt;=9,join(,""000"",B320),join(,""00"",B320)),join(,""0"",B320)),B320)"),1232.0)</f>
        <v>1232</v>
      </c>
      <c r="D320" s="52" t="s">
        <v>766</v>
      </c>
      <c r="E320" s="53" t="s">
        <v>20</v>
      </c>
      <c r="F320" s="34" t="str">
        <f t="shared" si="7"/>
        <v>#REF!</v>
      </c>
      <c r="G320" s="34" t="str">
        <f t="shared" si="8"/>
        <v>#REF!</v>
      </c>
      <c r="H320" s="54" t="s">
        <v>21</v>
      </c>
      <c r="I320" s="37" t="s">
        <v>22</v>
      </c>
      <c r="J320" s="54" t="s">
        <v>35</v>
      </c>
      <c r="K320" s="42" t="s">
        <v>28</v>
      </c>
      <c r="L320" s="42" t="s">
        <v>767</v>
      </c>
      <c r="M320" s="38">
        <v>8.0</v>
      </c>
      <c r="N320" s="42" t="s">
        <v>25</v>
      </c>
      <c r="O320" s="42" t="s">
        <v>163</v>
      </c>
      <c r="P320" s="43"/>
    </row>
    <row r="321">
      <c r="A321" s="45">
        <v>1361.0</v>
      </c>
      <c r="B321" s="45">
        <v>1361.0</v>
      </c>
      <c r="C321" s="45">
        <f>IFERROR(__xludf.DUMMYFUNCTION("if(B321&lt;=999,if(B321&lt;=99,IF(B321&lt;=9,join(,""000"",B321),join(,""00"",B321)),join(,""0"",B321)),B321)"),1361.0)</f>
        <v>1361</v>
      </c>
      <c r="D321" s="46" t="s">
        <v>768</v>
      </c>
      <c r="E321" s="45" t="s">
        <v>20</v>
      </c>
      <c r="F321" s="45" t="str">
        <f t="shared" si="7"/>
        <v>#REF!</v>
      </c>
      <c r="G321" s="45" t="str">
        <f t="shared" si="8"/>
        <v>#REF!</v>
      </c>
      <c r="H321" s="47" t="s">
        <v>21</v>
      </c>
      <c r="I321" s="48" t="s">
        <v>77</v>
      </c>
      <c r="J321" s="47" t="s">
        <v>35</v>
      </c>
      <c r="K321" s="49"/>
      <c r="L321" s="60" t="s">
        <v>769</v>
      </c>
      <c r="M321" s="49">
        <v>64.0</v>
      </c>
      <c r="N321" s="60" t="s">
        <v>770</v>
      </c>
      <c r="O321" s="60" t="s">
        <v>771</v>
      </c>
      <c r="P321" s="61" t="s">
        <v>66</v>
      </c>
    </row>
    <row r="322">
      <c r="A322" s="55">
        <v>1223.0</v>
      </c>
      <c r="B322" s="55">
        <v>1223.0</v>
      </c>
      <c r="C322" s="45">
        <f>IFERROR(__xludf.DUMMYFUNCTION("if(B322&lt;=999,if(B322&lt;=99,IF(B322&lt;=9,join(,""000"",B322),join(,""00"",B322)),join(,""0"",B322)),B322)"),1223.0)</f>
        <v>1223</v>
      </c>
      <c r="D322" s="56" t="s">
        <v>772</v>
      </c>
      <c r="E322" s="55" t="s">
        <v>20</v>
      </c>
      <c r="F322" s="45" t="str">
        <f t="shared" si="7"/>
        <v>#REF!</v>
      </c>
      <c r="G322" s="45" t="str">
        <f t="shared" si="8"/>
        <v>#REF!</v>
      </c>
      <c r="H322" s="57" t="s">
        <v>21</v>
      </c>
      <c r="I322" s="48" t="s">
        <v>77</v>
      </c>
      <c r="J322" s="57" t="s">
        <v>20</v>
      </c>
      <c r="K322" s="60" t="s">
        <v>773</v>
      </c>
      <c r="L322" s="60" t="s">
        <v>769</v>
      </c>
      <c r="M322" s="49" t="e">
        <v>#N/A</v>
      </c>
      <c r="N322" s="62" t="s">
        <v>774</v>
      </c>
      <c r="O322" s="62" t="s">
        <v>775</v>
      </c>
      <c r="P322" s="61"/>
    </row>
    <row r="323">
      <c r="A323" s="33">
        <v>1422.0</v>
      </c>
      <c r="B323" s="34">
        <v>1422.0</v>
      </c>
      <c r="C323" s="34">
        <f>IFERROR(__xludf.DUMMYFUNCTION("if(B323&lt;=999,if(B323&lt;=99,IF(B323&lt;=9,join(,""000"",B323),join(,""00"",B323)),join(,""0"",B323)),B323)"),1422.0)</f>
        <v>1422</v>
      </c>
      <c r="D323" s="35" t="s">
        <v>776</v>
      </c>
      <c r="E323" s="34" t="s">
        <v>35</v>
      </c>
      <c r="F323" s="34" t="str">
        <f t="shared" si="7"/>
        <v>#REF!</v>
      </c>
      <c r="G323" s="34" t="str">
        <f t="shared" si="8"/>
        <v>#REF!</v>
      </c>
      <c r="H323" s="36" t="s">
        <v>21</v>
      </c>
      <c r="I323" s="37" t="s">
        <v>117</v>
      </c>
      <c r="J323" s="36" t="s">
        <v>35</v>
      </c>
      <c r="K323" s="38"/>
      <c r="L323" s="42"/>
      <c r="M323" s="38" t="s">
        <v>777</v>
      </c>
      <c r="N323" s="38"/>
      <c r="O323" s="38"/>
      <c r="P323" s="39" t="s">
        <v>778</v>
      </c>
    </row>
    <row r="324">
      <c r="A324" s="51">
        <v>1431.0</v>
      </c>
      <c r="B324" s="51">
        <v>1431.0</v>
      </c>
      <c r="C324" s="34">
        <f>IFERROR(__xludf.DUMMYFUNCTION("if(B324&lt;=999,if(B324&lt;=99,IF(B324&lt;=9,join(,""000"",B324),join(,""00"",B324)),join(,""0"",B324)),B324)"),1431.0)</f>
        <v>1431</v>
      </c>
      <c r="D324" s="52" t="s">
        <v>779</v>
      </c>
      <c r="E324" s="53" t="s">
        <v>20</v>
      </c>
      <c r="F324" s="34" t="str">
        <f t="shared" si="7"/>
        <v>#REF!</v>
      </c>
      <c r="G324" s="34" t="str">
        <f t="shared" si="8"/>
        <v>#REF!</v>
      </c>
      <c r="H324" s="54" t="s">
        <v>21</v>
      </c>
      <c r="I324" s="37" t="s">
        <v>77</v>
      </c>
      <c r="J324" s="54" t="s">
        <v>20</v>
      </c>
      <c r="K324" s="42" t="s">
        <v>95</v>
      </c>
      <c r="L324" s="42" t="s">
        <v>780</v>
      </c>
      <c r="M324" s="38">
        <v>16.0</v>
      </c>
      <c r="N324" s="42" t="s">
        <v>25</v>
      </c>
      <c r="O324" s="42" t="s">
        <v>55</v>
      </c>
      <c r="P324" s="43" t="s">
        <v>781</v>
      </c>
    </row>
    <row r="325">
      <c r="A325" s="51">
        <v>1085.0</v>
      </c>
      <c r="B325" s="51">
        <v>1085.0</v>
      </c>
      <c r="C325" s="34">
        <f>IFERROR(__xludf.DUMMYFUNCTION("if(B325&lt;=999,if(B325&lt;=99,IF(B325&lt;=9,join(,""000"",B325),join(,""00"",B325)),join(,""0"",B325)),B325)"),1085.0)</f>
        <v>1085</v>
      </c>
      <c r="D325" s="52" t="s">
        <v>782</v>
      </c>
      <c r="E325" s="53" t="s">
        <v>20</v>
      </c>
      <c r="F325" s="34" t="str">
        <f t="shared" si="7"/>
        <v>#REF!</v>
      </c>
      <c r="G325" s="34" t="str">
        <f t="shared" si="8"/>
        <v>#REF!</v>
      </c>
      <c r="H325" s="54" t="s">
        <v>21</v>
      </c>
      <c r="I325" s="81" t="s">
        <v>99</v>
      </c>
      <c r="J325" s="54" t="s">
        <v>20</v>
      </c>
      <c r="K325" s="42" t="s">
        <v>783</v>
      </c>
      <c r="L325" s="36" t="s">
        <v>784</v>
      </c>
      <c r="M325" s="38">
        <v>8888.0</v>
      </c>
      <c r="N325" s="42" t="s">
        <v>25</v>
      </c>
      <c r="O325" s="42" t="s">
        <v>785</v>
      </c>
      <c r="P325" s="43"/>
    </row>
    <row r="326">
      <c r="A326" s="51">
        <v>1052.0</v>
      </c>
      <c r="B326" s="51">
        <v>1052.0</v>
      </c>
      <c r="C326" s="34">
        <f>IFERROR(__xludf.DUMMYFUNCTION("if(B326&lt;=999,if(B326&lt;=99,IF(B326&lt;=9,join(,""000"",B326),join(,""00"",B326)),join(,""0"",B326)),B326)"),1052.0)</f>
        <v>1052</v>
      </c>
      <c r="D326" s="52" t="s">
        <v>786</v>
      </c>
      <c r="E326" s="53" t="s">
        <v>20</v>
      </c>
      <c r="F326" s="34" t="str">
        <f t="shared" si="7"/>
        <v>#REF!</v>
      </c>
      <c r="G326" s="34" t="str">
        <f t="shared" si="8"/>
        <v>#REF!</v>
      </c>
      <c r="H326" s="54" t="s">
        <v>21</v>
      </c>
      <c r="I326" s="37" t="s">
        <v>99</v>
      </c>
      <c r="J326" s="54" t="s">
        <v>20</v>
      </c>
      <c r="K326" s="42" t="s">
        <v>783</v>
      </c>
      <c r="L326" s="36" t="s">
        <v>784</v>
      </c>
      <c r="M326" s="38">
        <v>8888.0</v>
      </c>
      <c r="N326" s="42" t="s">
        <v>25</v>
      </c>
      <c r="O326" s="42" t="s">
        <v>785</v>
      </c>
      <c r="P326" s="43" t="s">
        <v>82</v>
      </c>
    </row>
    <row r="327">
      <c r="A327" s="33">
        <v>512.0</v>
      </c>
      <c r="B327" s="34">
        <v>512.0</v>
      </c>
      <c r="C327" s="34" t="str">
        <f>IFERROR(__xludf.DUMMYFUNCTION("if(B327&lt;=999,if(B327&lt;=99,IF(B327&lt;=9,join(,""000"",B327),join(,""00"",B327)),join(,""0"",B327)),B327)"),"0512")</f>
        <v>0512</v>
      </c>
      <c r="D327" s="35" t="s">
        <v>787</v>
      </c>
      <c r="E327" s="34" t="s">
        <v>35</v>
      </c>
      <c r="F327" s="34" t="str">
        <f t="shared" si="7"/>
        <v>#REF!</v>
      </c>
      <c r="G327" s="34" t="str">
        <f t="shared" si="8"/>
        <v>#REF!</v>
      </c>
      <c r="H327" s="36" t="s">
        <v>21</v>
      </c>
      <c r="I327" s="37"/>
      <c r="J327" s="36"/>
      <c r="K327" s="38"/>
      <c r="L327" s="42"/>
      <c r="M327" s="38" t="e">
        <v>#N/A</v>
      </c>
      <c r="N327" s="38"/>
      <c r="O327" s="38"/>
      <c r="P327" s="39"/>
    </row>
    <row r="328">
      <c r="A328" s="51">
        <v>1304.0</v>
      </c>
      <c r="B328" s="51">
        <v>1304.0</v>
      </c>
      <c r="C328" s="34">
        <f>IFERROR(__xludf.DUMMYFUNCTION("if(B328&lt;=999,if(B328&lt;=99,IF(B328&lt;=9,join(,""000"",B328),join(,""00"",B328)),join(,""0"",B328)),B328)"),1304.0)</f>
        <v>1304</v>
      </c>
      <c r="D328" s="52" t="s">
        <v>788</v>
      </c>
      <c r="E328" s="53" t="s">
        <v>20</v>
      </c>
      <c r="F328" s="34" t="str">
        <f t="shared" si="7"/>
        <v>#REF!</v>
      </c>
      <c r="G328" s="34" t="str">
        <f t="shared" si="8"/>
        <v>#REF!</v>
      </c>
      <c r="H328" s="54" t="s">
        <v>21</v>
      </c>
      <c r="I328" s="37" t="s">
        <v>22</v>
      </c>
      <c r="J328" s="54" t="s">
        <v>20</v>
      </c>
      <c r="K328" s="42" t="s">
        <v>789</v>
      </c>
      <c r="L328" s="42" t="s">
        <v>790</v>
      </c>
      <c r="M328" s="38" t="s">
        <v>791</v>
      </c>
      <c r="N328" s="42" t="s">
        <v>25</v>
      </c>
      <c r="O328" s="42" t="s">
        <v>792</v>
      </c>
      <c r="P328" s="43"/>
    </row>
    <row r="329">
      <c r="A329" s="33">
        <v>234.0</v>
      </c>
      <c r="B329" s="34">
        <v>234.0</v>
      </c>
      <c r="C329" s="34" t="str">
        <f>IFERROR(__xludf.DUMMYFUNCTION("if(B329&lt;=999,if(B329&lt;=99,IF(B329&lt;=9,join(,""000"",B329),join(,""00"",B329)),join(,""0"",B329)),B329)"),"0234")</f>
        <v>0234</v>
      </c>
      <c r="D329" s="35" t="s">
        <v>793</v>
      </c>
      <c r="E329" s="34" t="s">
        <v>20</v>
      </c>
      <c r="F329" s="34" t="str">
        <f t="shared" si="7"/>
        <v>#REF!</v>
      </c>
      <c r="G329" s="34" t="str">
        <f t="shared" si="8"/>
        <v>#REF!</v>
      </c>
      <c r="H329" s="36" t="s">
        <v>21</v>
      </c>
      <c r="I329" s="37" t="s">
        <v>77</v>
      </c>
      <c r="J329" s="36" t="s">
        <v>35</v>
      </c>
      <c r="K329" s="38"/>
      <c r="L329" s="42"/>
      <c r="M329" s="38" t="s">
        <v>794</v>
      </c>
      <c r="N329" s="38"/>
      <c r="O329" s="38"/>
      <c r="P329" s="39" t="s">
        <v>795</v>
      </c>
    </row>
    <row r="330">
      <c r="A330" s="51">
        <v>647.0</v>
      </c>
      <c r="B330" s="51">
        <v>647.0</v>
      </c>
      <c r="C330" s="34" t="str">
        <f>IFERROR(__xludf.DUMMYFUNCTION("if(B330&lt;=999,if(B330&lt;=99,IF(B330&lt;=9,join(,""000"",B330),join(,""00"",B330)),join(,""0"",B330)),B330)"),"0647")</f>
        <v>0647</v>
      </c>
      <c r="D330" s="52" t="s">
        <v>796</v>
      </c>
      <c r="E330" s="53" t="s">
        <v>20</v>
      </c>
      <c r="F330" s="34" t="str">
        <f t="shared" si="7"/>
        <v>#REF!</v>
      </c>
      <c r="G330" s="34" t="str">
        <f t="shared" si="8"/>
        <v>#REF!</v>
      </c>
      <c r="H330" s="54" t="s">
        <v>21</v>
      </c>
      <c r="I330" s="37" t="s">
        <v>22</v>
      </c>
      <c r="J330" s="54" t="s">
        <v>20</v>
      </c>
      <c r="K330" s="63" t="s">
        <v>381</v>
      </c>
      <c r="L330" s="63" t="s">
        <v>797</v>
      </c>
      <c r="M330" s="38">
        <v>25001.0</v>
      </c>
      <c r="N330" s="63" t="s">
        <v>25</v>
      </c>
      <c r="O330" s="63" t="s">
        <v>798</v>
      </c>
      <c r="P330" s="63" t="s">
        <v>82</v>
      </c>
    </row>
    <row r="331">
      <c r="A331" s="51">
        <v>1298.0</v>
      </c>
      <c r="B331" s="51">
        <v>1298.0</v>
      </c>
      <c r="C331" s="34">
        <f>IFERROR(__xludf.DUMMYFUNCTION("if(B331&lt;=999,if(B331&lt;=99,IF(B331&lt;=9,join(,""000"",B331),join(,""00"",B331)),join(,""0"",B331)),B331)"),1298.0)</f>
        <v>1298</v>
      </c>
      <c r="D331" s="52" t="s">
        <v>799</v>
      </c>
      <c r="E331" s="53" t="s">
        <v>20</v>
      </c>
      <c r="F331" s="64" t="s">
        <v>800</v>
      </c>
      <c r="G331" s="89">
        <v>9.161375519E9</v>
      </c>
      <c r="H331" s="54" t="s">
        <v>21</v>
      </c>
      <c r="I331" s="37" t="s">
        <v>22</v>
      </c>
      <c r="J331" s="54" t="s">
        <v>35</v>
      </c>
      <c r="K331" s="42" t="s">
        <v>381</v>
      </c>
      <c r="L331" s="42"/>
      <c r="M331" s="38" t="e">
        <v>#N/A</v>
      </c>
      <c r="N331" s="62" t="s">
        <v>25</v>
      </c>
      <c r="O331" s="62" t="s">
        <v>55</v>
      </c>
      <c r="P331" s="43" t="s">
        <v>795</v>
      </c>
    </row>
    <row r="332">
      <c r="A332" s="51">
        <v>815.0</v>
      </c>
      <c r="B332" s="51">
        <v>815.0</v>
      </c>
      <c r="C332" s="34" t="str">
        <f>IFERROR(__xludf.DUMMYFUNCTION("if(B332&lt;=999,if(B332&lt;=99,IF(B332&lt;=9,join(,""000"",B332),join(,""00"",B332)),join(,""0"",B332)),B332)"),"0815")</f>
        <v>0815</v>
      </c>
      <c r="D332" s="52" t="s">
        <v>801</v>
      </c>
      <c r="E332" s="53" t="s">
        <v>20</v>
      </c>
      <c r="F332" s="34" t="str">
        <f>VLOOKUP(C332,'Copy of Form Responses; CCTV Infra 1'!$G$2:$I$675,2,false)</f>
        <v>#REF!</v>
      </c>
      <c r="G332" s="34" t="str">
        <f>VLOOKUP(C332,'Copy of Form Responses; CCTV Infra 1'!$G$2:$I$675,3,false)</f>
        <v>#REF!</v>
      </c>
      <c r="H332" s="54" t="s">
        <v>21</v>
      </c>
      <c r="I332" s="37" t="s">
        <v>22</v>
      </c>
      <c r="J332" s="54" t="s">
        <v>35</v>
      </c>
      <c r="K332" s="42" t="s">
        <v>28</v>
      </c>
      <c r="L332" s="36" t="s">
        <v>802</v>
      </c>
      <c r="M332" s="38">
        <v>37777.0</v>
      </c>
      <c r="N332" s="62" t="s">
        <v>803</v>
      </c>
      <c r="O332" s="62" t="s">
        <v>86</v>
      </c>
      <c r="P332" s="43" t="s">
        <v>43</v>
      </c>
    </row>
    <row r="333">
      <c r="A333" s="51">
        <v>798.0</v>
      </c>
      <c r="B333" s="51">
        <v>798.0</v>
      </c>
      <c r="C333" s="34" t="str">
        <f>IFERROR(__xludf.DUMMYFUNCTION("if(B333&lt;=999,if(B333&lt;=99,IF(B333&lt;=9,join(,""000"",B333),join(,""00"",B333)),join(,""0"",B333)),B333)"),"0798")</f>
        <v>0798</v>
      </c>
      <c r="D333" s="52" t="s">
        <v>804</v>
      </c>
      <c r="E333" s="53" t="s">
        <v>20</v>
      </c>
      <c r="F333" s="64" t="s">
        <v>805</v>
      </c>
      <c r="G333" s="89">
        <v>8.95305608E9</v>
      </c>
      <c r="H333" s="54" t="s">
        <v>21</v>
      </c>
      <c r="I333" s="81"/>
      <c r="J333" s="54"/>
      <c r="K333" s="42" t="s">
        <v>381</v>
      </c>
      <c r="L333" s="42"/>
      <c r="M333" s="38"/>
      <c r="N333" s="42"/>
      <c r="O333" s="42"/>
      <c r="P333" s="43" t="s">
        <v>806</v>
      </c>
    </row>
    <row r="334">
      <c r="A334" s="55">
        <v>1074.0</v>
      </c>
      <c r="B334" s="55">
        <v>1074.0</v>
      </c>
      <c r="C334" s="45">
        <f>IFERROR(__xludf.DUMMYFUNCTION("if(B334&lt;=999,if(B334&lt;=99,IF(B334&lt;=9,join(,""000"",B334),join(,""00"",B334)),join(,""0"",B334)),B334)"),1074.0)</f>
        <v>1074</v>
      </c>
      <c r="D334" s="56" t="s">
        <v>807</v>
      </c>
      <c r="E334" s="55" t="s">
        <v>20</v>
      </c>
      <c r="F334" s="45" t="str">
        <f t="shared" ref="F334:F347" si="9">VLOOKUP(C334,'Copy of Form Responses; CCTV Infra 1'!$G$2:$I$675,2,false)</f>
        <v>#REF!</v>
      </c>
      <c r="G334" s="45" t="str">
        <f t="shared" ref="G334:G347" si="10">VLOOKUP(C334,'Copy of Form Responses; CCTV Infra 1'!$G$2:$I$675,3,false)</f>
        <v>#REF!</v>
      </c>
      <c r="H334" s="57" t="s">
        <v>21</v>
      </c>
      <c r="I334" s="83" t="s">
        <v>99</v>
      </c>
      <c r="J334" s="57" t="s">
        <v>20</v>
      </c>
      <c r="K334" s="60" t="s">
        <v>381</v>
      </c>
      <c r="L334" s="60" t="s">
        <v>808</v>
      </c>
      <c r="M334" s="49">
        <v>80.0</v>
      </c>
      <c r="N334" s="60" t="s">
        <v>25</v>
      </c>
      <c r="O334" s="60" t="s">
        <v>26</v>
      </c>
      <c r="P334" s="61"/>
    </row>
    <row r="335">
      <c r="A335" s="45">
        <v>530.0</v>
      </c>
      <c r="B335" s="45">
        <v>530.0</v>
      </c>
      <c r="C335" s="45" t="str">
        <f>IFERROR(__xludf.DUMMYFUNCTION("if(B335&lt;=999,if(B335&lt;=99,IF(B335&lt;=9,join(,""000"",B335),join(,""00"",B335)),join(,""0"",B335)),B335)"),"0530")</f>
        <v>0530</v>
      </c>
      <c r="D335" s="46" t="s">
        <v>809</v>
      </c>
      <c r="E335" s="45" t="s">
        <v>20</v>
      </c>
      <c r="F335" s="45" t="str">
        <f t="shared" si="9"/>
        <v>#REF!</v>
      </c>
      <c r="G335" s="45" t="str">
        <f t="shared" si="10"/>
        <v>#REF!</v>
      </c>
      <c r="H335" s="47" t="s">
        <v>21</v>
      </c>
      <c r="I335" s="48" t="s">
        <v>77</v>
      </c>
      <c r="J335" s="47" t="s">
        <v>20</v>
      </c>
      <c r="K335" s="60" t="s">
        <v>28</v>
      </c>
      <c r="L335" s="60" t="s">
        <v>810</v>
      </c>
      <c r="M335" s="49" t="s">
        <v>811</v>
      </c>
      <c r="N335" s="60" t="s">
        <v>25</v>
      </c>
      <c r="O335" s="60" t="s">
        <v>55</v>
      </c>
      <c r="P335" s="61" t="s">
        <v>66</v>
      </c>
    </row>
    <row r="336">
      <c r="A336" s="51">
        <v>741.0</v>
      </c>
      <c r="B336" s="51">
        <v>741.0</v>
      </c>
      <c r="C336" s="34" t="str">
        <f>IFERROR(__xludf.DUMMYFUNCTION("if(B336&lt;=999,if(B336&lt;=99,IF(B336&lt;=9,join(,""000"",B336),join(,""00"",B336)),join(,""0"",B336)),B336)"),"0741")</f>
        <v>0741</v>
      </c>
      <c r="D336" s="52" t="s">
        <v>812</v>
      </c>
      <c r="E336" s="53" t="s">
        <v>20</v>
      </c>
      <c r="F336" s="34" t="str">
        <f t="shared" si="9"/>
        <v>#REF!</v>
      </c>
      <c r="G336" s="34" t="str">
        <f t="shared" si="10"/>
        <v>#REF!</v>
      </c>
      <c r="H336" s="54" t="s">
        <v>21</v>
      </c>
      <c r="I336" s="81" t="s">
        <v>34</v>
      </c>
      <c r="J336" s="54" t="s">
        <v>35</v>
      </c>
      <c r="K336" s="42"/>
      <c r="L336" s="42"/>
      <c r="M336" s="38" t="s">
        <v>813</v>
      </c>
      <c r="N336" s="42"/>
      <c r="O336" s="42"/>
      <c r="P336" s="43" t="s">
        <v>43</v>
      </c>
    </row>
    <row r="337">
      <c r="A337" s="33">
        <v>227.0</v>
      </c>
      <c r="B337" s="34">
        <v>227.0</v>
      </c>
      <c r="C337" s="34" t="str">
        <f>IFERROR(__xludf.DUMMYFUNCTION("if(B337&lt;=999,if(B337&lt;=99,IF(B337&lt;=9,join(,""000"",B337),join(,""00"",B337)),join(,""0"",B337)),B337)"),"0227")</f>
        <v>0227</v>
      </c>
      <c r="D337" s="35" t="s">
        <v>814</v>
      </c>
      <c r="E337" s="34" t="s">
        <v>20</v>
      </c>
      <c r="F337" s="34" t="str">
        <f t="shared" si="9"/>
        <v>#REF!</v>
      </c>
      <c r="G337" s="34" t="str">
        <f t="shared" si="10"/>
        <v>#REF!</v>
      </c>
      <c r="H337" s="36" t="s">
        <v>21</v>
      </c>
      <c r="I337" s="37" t="s">
        <v>99</v>
      </c>
      <c r="J337" s="36" t="s">
        <v>35</v>
      </c>
      <c r="K337" s="38"/>
      <c r="L337" s="42"/>
      <c r="M337" s="38" t="e">
        <v>#N/A</v>
      </c>
      <c r="N337" s="38"/>
      <c r="O337" s="38"/>
      <c r="P337" s="39" t="s">
        <v>43</v>
      </c>
    </row>
    <row r="338">
      <c r="A338" s="51">
        <v>1233.0</v>
      </c>
      <c r="B338" s="51">
        <v>1233.0</v>
      </c>
      <c r="C338" s="34">
        <f>IFERROR(__xludf.DUMMYFUNCTION("if(B338&lt;=999,if(B338&lt;=99,IF(B338&lt;=9,join(,""000"",B338),join(,""00"",B338)),join(,""0"",B338)),B338)"),1233.0)</f>
        <v>1233</v>
      </c>
      <c r="D338" s="52" t="s">
        <v>815</v>
      </c>
      <c r="E338" s="53" t="s">
        <v>20</v>
      </c>
      <c r="F338" s="34" t="str">
        <f t="shared" si="9"/>
        <v>#REF!</v>
      </c>
      <c r="G338" s="34" t="str">
        <f t="shared" si="10"/>
        <v>#REF!</v>
      </c>
      <c r="H338" s="54" t="s">
        <v>21</v>
      </c>
      <c r="I338" s="37" t="s">
        <v>22</v>
      </c>
      <c r="J338" s="54" t="s">
        <v>20</v>
      </c>
      <c r="K338" s="42" t="s">
        <v>28</v>
      </c>
      <c r="L338" s="43" t="s">
        <v>816</v>
      </c>
      <c r="M338" s="38">
        <v>80.0</v>
      </c>
      <c r="N338" s="42" t="s">
        <v>25</v>
      </c>
      <c r="O338" s="42" t="s">
        <v>86</v>
      </c>
      <c r="P338" s="43" t="s">
        <v>82</v>
      </c>
    </row>
    <row r="339">
      <c r="A339" s="51">
        <v>1115.0</v>
      </c>
      <c r="B339" s="51">
        <v>1115.0</v>
      </c>
      <c r="C339" s="34">
        <f>IFERROR(__xludf.DUMMYFUNCTION("if(B339&lt;=999,if(B339&lt;=99,IF(B339&lt;=9,join(,""000"",B339),join(,""00"",B339)),join(,""0"",B339)),B339)"),1115.0)</f>
        <v>1115</v>
      </c>
      <c r="D339" s="52" t="s">
        <v>817</v>
      </c>
      <c r="E339" s="53" t="s">
        <v>20</v>
      </c>
      <c r="F339" s="34" t="str">
        <f t="shared" si="9"/>
        <v>#REF!</v>
      </c>
      <c r="G339" s="34" t="str">
        <f t="shared" si="10"/>
        <v>#REF!</v>
      </c>
      <c r="H339" s="54" t="s">
        <v>21</v>
      </c>
      <c r="I339" s="81" t="s">
        <v>77</v>
      </c>
      <c r="J339" s="54" t="s">
        <v>20</v>
      </c>
      <c r="K339" s="42" t="s">
        <v>818</v>
      </c>
      <c r="L339" s="43" t="s">
        <v>819</v>
      </c>
      <c r="M339" s="38">
        <v>80.0</v>
      </c>
      <c r="N339" s="42" t="s">
        <v>25</v>
      </c>
      <c r="O339" s="42" t="s">
        <v>86</v>
      </c>
      <c r="P339" s="43" t="s">
        <v>56</v>
      </c>
    </row>
    <row r="340">
      <c r="A340" s="51">
        <v>219.0</v>
      </c>
      <c r="B340" s="51">
        <v>219.0</v>
      </c>
      <c r="C340" s="34" t="str">
        <f>IFERROR(__xludf.DUMMYFUNCTION("if(B340&lt;=999,if(B340&lt;=99,IF(B340&lt;=9,join(,""000"",B340),join(,""00"",B340)),join(,""0"",B340)),B340)"),"0219")</f>
        <v>0219</v>
      </c>
      <c r="D340" s="52" t="s">
        <v>820</v>
      </c>
      <c r="E340" s="53" t="s">
        <v>20</v>
      </c>
      <c r="F340" s="34" t="str">
        <f t="shared" si="9"/>
        <v>#REF!</v>
      </c>
      <c r="G340" s="34" t="str">
        <f t="shared" si="10"/>
        <v>#REF!</v>
      </c>
      <c r="H340" s="54" t="s">
        <v>21</v>
      </c>
      <c r="I340" s="81" t="s">
        <v>77</v>
      </c>
      <c r="J340" s="54" t="s">
        <v>20</v>
      </c>
      <c r="K340" s="42" t="s">
        <v>818</v>
      </c>
      <c r="L340" s="42" t="s">
        <v>821</v>
      </c>
      <c r="M340" s="38">
        <v>80.0</v>
      </c>
      <c r="N340" s="42" t="s">
        <v>25</v>
      </c>
      <c r="O340" s="42" t="s">
        <v>86</v>
      </c>
      <c r="P340" s="43" t="s">
        <v>56</v>
      </c>
    </row>
    <row r="341">
      <c r="A341" s="33">
        <v>1402.0</v>
      </c>
      <c r="B341" s="34">
        <v>1402.0</v>
      </c>
      <c r="C341" s="34">
        <f>IFERROR(__xludf.DUMMYFUNCTION("if(B341&lt;=999,if(B341&lt;=99,IF(B341&lt;=9,join(,""000"",B341),join(,""00"",B341)),join(,""0"",B341)),B341)"),1402.0)</f>
        <v>1402</v>
      </c>
      <c r="D341" s="35" t="s">
        <v>822</v>
      </c>
      <c r="E341" s="34" t="s">
        <v>20</v>
      </c>
      <c r="F341" s="34" t="str">
        <f t="shared" si="9"/>
        <v>#REF!</v>
      </c>
      <c r="G341" s="34" t="str">
        <f t="shared" si="10"/>
        <v>#REF!</v>
      </c>
      <c r="H341" s="36" t="s">
        <v>21</v>
      </c>
      <c r="I341" s="37" t="s">
        <v>22</v>
      </c>
      <c r="J341" s="36" t="s">
        <v>20</v>
      </c>
      <c r="K341" s="42" t="s">
        <v>254</v>
      </c>
      <c r="L341" s="42" t="s">
        <v>823</v>
      </c>
      <c r="M341" s="38">
        <v>80.0</v>
      </c>
      <c r="N341" s="42" t="s">
        <v>25</v>
      </c>
      <c r="O341" s="42" t="s">
        <v>55</v>
      </c>
      <c r="P341" s="43"/>
    </row>
    <row r="342">
      <c r="A342" s="55">
        <v>1125.0</v>
      </c>
      <c r="B342" s="55">
        <v>1125.0</v>
      </c>
      <c r="C342" s="45">
        <f>IFERROR(__xludf.DUMMYFUNCTION("if(B342&lt;=999,if(B342&lt;=99,IF(B342&lt;=9,join(,""000"",B342),join(,""00"",B342)),join(,""0"",B342)),B342)"),1125.0)</f>
        <v>1125</v>
      </c>
      <c r="D342" s="56" t="s">
        <v>824</v>
      </c>
      <c r="E342" s="55" t="s">
        <v>20</v>
      </c>
      <c r="F342" s="45" t="str">
        <f t="shared" si="9"/>
        <v>#REF!</v>
      </c>
      <c r="G342" s="45" t="str">
        <f t="shared" si="10"/>
        <v>#REF!</v>
      </c>
      <c r="H342" s="57" t="s">
        <v>21</v>
      </c>
      <c r="I342" s="83" t="s">
        <v>63</v>
      </c>
      <c r="J342" s="57" t="s">
        <v>35</v>
      </c>
      <c r="K342" s="60" t="s">
        <v>360</v>
      </c>
      <c r="L342" s="60" t="s">
        <v>825</v>
      </c>
      <c r="M342" s="49" t="s">
        <v>826</v>
      </c>
      <c r="N342" s="60" t="s">
        <v>25</v>
      </c>
      <c r="O342" s="60" t="s">
        <v>55</v>
      </c>
      <c r="P342" s="61" t="s">
        <v>66</v>
      </c>
    </row>
    <row r="343">
      <c r="A343" s="51">
        <v>681.0</v>
      </c>
      <c r="B343" s="51">
        <v>681.0</v>
      </c>
      <c r="C343" s="34" t="str">
        <f>IFERROR(__xludf.DUMMYFUNCTION("if(B343&lt;=999,if(B343&lt;=99,IF(B343&lt;=9,join(,""000"",B343),join(,""00"",B343)),join(,""0"",B343)),B343)"),"0681")</f>
        <v>0681</v>
      </c>
      <c r="D343" s="52" t="s">
        <v>827</v>
      </c>
      <c r="E343" s="53" t="s">
        <v>35</v>
      </c>
      <c r="F343" s="34" t="str">
        <f t="shared" si="9"/>
        <v>#REF!</v>
      </c>
      <c r="G343" s="34" t="str">
        <f t="shared" si="10"/>
        <v>#REF!</v>
      </c>
      <c r="H343" s="54" t="s">
        <v>21</v>
      </c>
      <c r="I343" s="81"/>
      <c r="J343" s="54"/>
      <c r="K343" s="42"/>
      <c r="L343" s="42"/>
      <c r="M343" s="38" t="e">
        <v>#N/A</v>
      </c>
      <c r="N343" s="42"/>
      <c r="O343" s="42"/>
      <c r="P343" s="43"/>
    </row>
    <row r="344">
      <c r="A344" s="51">
        <v>29.0</v>
      </c>
      <c r="B344" s="51">
        <v>29.0</v>
      </c>
      <c r="C344" s="34" t="str">
        <f>IFERROR(__xludf.DUMMYFUNCTION("if(B344&lt;=999,if(B344&lt;=99,IF(B344&lt;=9,join(,""000"",B344),join(,""00"",B344)),join(,""0"",B344)),B344)"),"0029")</f>
        <v>0029</v>
      </c>
      <c r="D344" s="52" t="s">
        <v>828</v>
      </c>
      <c r="E344" s="53" t="s">
        <v>20</v>
      </c>
      <c r="F344" s="34" t="str">
        <f t="shared" si="9"/>
        <v>#REF!</v>
      </c>
      <c r="G344" s="34" t="str">
        <f t="shared" si="10"/>
        <v>#REF!</v>
      </c>
      <c r="H344" s="54" t="s">
        <v>21</v>
      </c>
      <c r="I344" s="81" t="s">
        <v>99</v>
      </c>
      <c r="J344" s="54" t="s">
        <v>20</v>
      </c>
      <c r="K344" s="42" t="s">
        <v>330</v>
      </c>
      <c r="L344" s="42" t="s">
        <v>829</v>
      </c>
      <c r="M344" s="38">
        <v>25001.0</v>
      </c>
      <c r="N344" s="42" t="s">
        <v>518</v>
      </c>
      <c r="O344" s="42" t="s">
        <v>830</v>
      </c>
      <c r="P344" s="43" t="s">
        <v>66</v>
      </c>
    </row>
    <row r="345">
      <c r="A345" s="51">
        <v>686.0</v>
      </c>
      <c r="B345" s="51">
        <v>686.0</v>
      </c>
      <c r="C345" s="34" t="str">
        <f>IFERROR(__xludf.DUMMYFUNCTION("if(B345&lt;=999,if(B345&lt;=99,IF(B345&lt;=9,join(,""000"",B345),join(,""00"",B345)),join(,""0"",B345)),B345)"),"0686")</f>
        <v>0686</v>
      </c>
      <c r="D345" s="52" t="s">
        <v>831</v>
      </c>
      <c r="E345" s="53" t="s">
        <v>20</v>
      </c>
      <c r="F345" s="34" t="str">
        <f t="shared" si="9"/>
        <v>#REF!</v>
      </c>
      <c r="G345" s="34" t="str">
        <f t="shared" si="10"/>
        <v>#REF!</v>
      </c>
      <c r="H345" s="54" t="s">
        <v>21</v>
      </c>
      <c r="I345" s="81" t="s">
        <v>99</v>
      </c>
      <c r="J345" s="54" t="s">
        <v>35</v>
      </c>
      <c r="K345" s="42"/>
      <c r="L345" s="42"/>
      <c r="M345" s="38" t="e">
        <v>#N/A</v>
      </c>
      <c r="N345" s="42"/>
      <c r="O345" s="42"/>
      <c r="P345" s="43" t="s">
        <v>66</v>
      </c>
    </row>
    <row r="346">
      <c r="A346" s="51">
        <v>80.0</v>
      </c>
      <c r="B346" s="51">
        <v>80.0</v>
      </c>
      <c r="C346" s="34" t="str">
        <f>IFERROR(__xludf.DUMMYFUNCTION("if(B346&lt;=999,if(B346&lt;=99,IF(B346&lt;=9,join(,""000"",B346),join(,""00"",B346)),join(,""0"",B346)),B346)"),"0080")</f>
        <v>0080</v>
      </c>
      <c r="D346" s="52" t="s">
        <v>832</v>
      </c>
      <c r="E346" s="53" t="s">
        <v>35</v>
      </c>
      <c r="F346" s="34" t="str">
        <f t="shared" si="9"/>
        <v>#REF!</v>
      </c>
      <c r="G346" s="34" t="str">
        <f t="shared" si="10"/>
        <v>#REF!</v>
      </c>
      <c r="H346" s="54" t="s">
        <v>21</v>
      </c>
      <c r="I346" s="81"/>
      <c r="J346" s="54"/>
      <c r="K346" s="42"/>
      <c r="L346" s="42"/>
      <c r="M346" s="38" t="e">
        <v>#N/A</v>
      </c>
      <c r="N346" s="42"/>
      <c r="O346" s="42"/>
      <c r="P346" s="43"/>
    </row>
    <row r="347">
      <c r="A347" s="51">
        <v>1108.0</v>
      </c>
      <c r="B347" s="51">
        <v>1108.0</v>
      </c>
      <c r="C347" s="34">
        <f>IFERROR(__xludf.DUMMYFUNCTION("if(B347&lt;=999,if(B347&lt;=99,IF(B347&lt;=9,join(,""000"",B347),join(,""00"",B347)),join(,""0"",B347)),B347)"),1108.0)</f>
        <v>1108</v>
      </c>
      <c r="D347" s="52" t="s">
        <v>833</v>
      </c>
      <c r="E347" s="53" t="s">
        <v>35</v>
      </c>
      <c r="F347" s="34" t="str">
        <f t="shared" si="9"/>
        <v>#REF!</v>
      </c>
      <c r="G347" s="34" t="str">
        <f t="shared" si="10"/>
        <v>#REF!</v>
      </c>
      <c r="H347" s="54" t="s">
        <v>21</v>
      </c>
      <c r="I347" s="81"/>
      <c r="J347" s="54"/>
      <c r="K347" s="42"/>
      <c r="L347" s="42"/>
      <c r="M347" s="38" t="e">
        <v>#N/A</v>
      </c>
      <c r="N347" s="42"/>
      <c r="O347" s="42"/>
      <c r="P347" s="43"/>
    </row>
    <row r="348">
      <c r="A348" s="51">
        <v>236.0</v>
      </c>
      <c r="B348" s="51">
        <v>236.0</v>
      </c>
      <c r="C348" s="34" t="str">
        <f>IFERROR(__xludf.DUMMYFUNCTION("if(B348&lt;=999,if(B348&lt;=99,IF(B348&lt;=9,join(,""000"",B348),join(,""00"",B348)),join(,""0"",B348)),B348)"),"0236")</f>
        <v>0236</v>
      </c>
      <c r="D348" s="52" t="s">
        <v>834</v>
      </c>
      <c r="E348" s="53" t="s">
        <v>20</v>
      </c>
      <c r="F348" s="34" t="s">
        <v>835</v>
      </c>
      <c r="G348" s="34">
        <v>9.335764541E9</v>
      </c>
      <c r="H348" s="54" t="s">
        <v>21</v>
      </c>
      <c r="I348" s="37" t="s">
        <v>22</v>
      </c>
      <c r="J348" s="54" t="s">
        <v>20</v>
      </c>
      <c r="K348" s="42" t="s">
        <v>95</v>
      </c>
      <c r="L348" s="42" t="s">
        <v>836</v>
      </c>
      <c r="M348" s="38" t="e">
        <v>#N/A</v>
      </c>
      <c r="N348" s="42" t="s">
        <v>25</v>
      </c>
      <c r="O348" s="42" t="s">
        <v>837</v>
      </c>
      <c r="P348" s="43" t="s">
        <v>97</v>
      </c>
    </row>
    <row r="349">
      <c r="A349" s="33">
        <v>220.0</v>
      </c>
      <c r="B349" s="34">
        <v>220.0</v>
      </c>
      <c r="C349" s="34" t="str">
        <f>IFERROR(__xludf.DUMMYFUNCTION("if(B349&lt;=999,if(B349&lt;=99,IF(B349&lt;=9,join(,""000"",B349),join(,""00"",B349)),join(,""0"",B349)),B349)"),"0220")</f>
        <v>0220</v>
      </c>
      <c r="D349" s="35" t="s">
        <v>838</v>
      </c>
      <c r="E349" s="34" t="s">
        <v>20</v>
      </c>
      <c r="F349" s="34" t="str">
        <f t="shared" ref="F349:F371" si="11">VLOOKUP(C349,'Copy of Form Responses; CCTV Infra 1'!$G$2:$I$675,2,false)</f>
        <v>#REF!</v>
      </c>
      <c r="G349" s="34" t="str">
        <f t="shared" ref="G349:G371" si="12">VLOOKUP(C349,'Copy of Form Responses; CCTV Infra 1'!$G$2:$I$675,3,false)</f>
        <v>#REF!</v>
      </c>
      <c r="H349" s="36" t="s">
        <v>21</v>
      </c>
      <c r="I349" s="37" t="s">
        <v>22</v>
      </c>
      <c r="J349" s="36" t="s">
        <v>20</v>
      </c>
      <c r="K349" s="42" t="s">
        <v>95</v>
      </c>
      <c r="L349" s="42" t="s">
        <v>836</v>
      </c>
      <c r="M349" s="38">
        <v>25001.0</v>
      </c>
      <c r="N349" s="42" t="s">
        <v>25</v>
      </c>
      <c r="O349" s="42" t="s">
        <v>837</v>
      </c>
      <c r="P349" s="39" t="s">
        <v>97</v>
      </c>
    </row>
    <row r="350">
      <c r="A350" s="51">
        <v>120.0</v>
      </c>
      <c r="B350" s="51">
        <v>120.0</v>
      </c>
      <c r="C350" s="34" t="str">
        <f>IFERROR(__xludf.DUMMYFUNCTION("if(B350&lt;=999,if(B350&lt;=99,IF(B350&lt;=9,join(,""000"",B350),join(,""00"",B350)),join(,""0"",B350)),B350)"),"0120")</f>
        <v>0120</v>
      </c>
      <c r="D350" s="52" t="s">
        <v>839</v>
      </c>
      <c r="E350" s="53" t="s">
        <v>20</v>
      </c>
      <c r="F350" s="34" t="str">
        <f t="shared" si="11"/>
        <v>#REF!</v>
      </c>
      <c r="G350" s="34" t="str">
        <f t="shared" si="12"/>
        <v>#REF!</v>
      </c>
      <c r="H350" s="54" t="s">
        <v>21</v>
      </c>
      <c r="I350" s="37" t="s">
        <v>22</v>
      </c>
      <c r="J350" s="54" t="s">
        <v>35</v>
      </c>
      <c r="K350" s="42"/>
      <c r="L350" s="42"/>
      <c r="M350" s="38">
        <v>80.0</v>
      </c>
      <c r="N350" s="42"/>
      <c r="O350" s="42"/>
      <c r="P350" s="43" t="s">
        <v>43</v>
      </c>
    </row>
    <row r="351">
      <c r="A351" s="51">
        <v>1118.0</v>
      </c>
      <c r="B351" s="51">
        <v>1118.0</v>
      </c>
      <c r="C351" s="34">
        <f>IFERROR(__xludf.DUMMYFUNCTION("if(B351&lt;=999,if(B351&lt;=99,IF(B351&lt;=9,join(,""000"",B351),join(,""00"",B351)),join(,""0"",B351)),B351)"),1118.0)</f>
        <v>1118</v>
      </c>
      <c r="D351" s="52" t="s">
        <v>840</v>
      </c>
      <c r="E351" s="53" t="s">
        <v>20</v>
      </c>
      <c r="F351" s="34" t="str">
        <f t="shared" si="11"/>
        <v>#REF!</v>
      </c>
      <c r="G351" s="34" t="str">
        <f t="shared" si="12"/>
        <v>#REF!</v>
      </c>
      <c r="H351" s="54" t="s">
        <v>21</v>
      </c>
      <c r="I351" s="37" t="s">
        <v>73</v>
      </c>
      <c r="J351" s="54" t="s">
        <v>35</v>
      </c>
      <c r="K351" s="42" t="s">
        <v>841</v>
      </c>
      <c r="L351" s="42" t="s">
        <v>842</v>
      </c>
      <c r="M351" s="38" t="e">
        <v>#N/A</v>
      </c>
      <c r="N351" s="42" t="s">
        <v>25</v>
      </c>
      <c r="O351" s="42" t="s">
        <v>86</v>
      </c>
      <c r="P351" s="43" t="s">
        <v>843</v>
      </c>
    </row>
    <row r="352">
      <c r="A352" s="55">
        <v>213.0</v>
      </c>
      <c r="B352" s="55">
        <v>213.0</v>
      </c>
      <c r="C352" s="45" t="str">
        <f>IFERROR(__xludf.DUMMYFUNCTION("if(B352&lt;=999,if(B352&lt;=99,IF(B352&lt;=9,join(,""000"",B352),join(,""00"",B352)),join(,""0"",B352)),B352)"),"0213")</f>
        <v>0213</v>
      </c>
      <c r="D352" s="56" t="s">
        <v>844</v>
      </c>
      <c r="E352" s="55" t="s">
        <v>20</v>
      </c>
      <c r="F352" s="45" t="str">
        <f t="shared" si="11"/>
        <v>#REF!</v>
      </c>
      <c r="G352" s="45" t="str">
        <f t="shared" si="12"/>
        <v>#REF!</v>
      </c>
      <c r="H352" s="57" t="s">
        <v>21</v>
      </c>
      <c r="I352" s="83" t="s">
        <v>73</v>
      </c>
      <c r="J352" s="57" t="s">
        <v>20</v>
      </c>
      <c r="K352" s="60" t="s">
        <v>330</v>
      </c>
      <c r="L352" s="60" t="s">
        <v>845</v>
      </c>
      <c r="M352" s="49">
        <v>37777.0</v>
      </c>
      <c r="N352" s="60" t="s">
        <v>25</v>
      </c>
      <c r="O352" s="60" t="s">
        <v>55</v>
      </c>
      <c r="P352" s="61"/>
    </row>
    <row r="353">
      <c r="A353" s="33">
        <v>112.0</v>
      </c>
      <c r="B353" s="34">
        <v>112.0</v>
      </c>
      <c r="C353" s="34" t="str">
        <f>IFERROR(__xludf.DUMMYFUNCTION("if(B353&lt;=999,if(B353&lt;=99,IF(B353&lt;=9,join(,""000"",B353),join(,""00"",B353)),join(,""0"",B353)),B353)"),"0112")</f>
        <v>0112</v>
      </c>
      <c r="D353" s="35" t="s">
        <v>846</v>
      </c>
      <c r="E353" s="34" t="s">
        <v>35</v>
      </c>
      <c r="F353" s="34" t="str">
        <f t="shared" si="11"/>
        <v>#REF!</v>
      </c>
      <c r="G353" s="34" t="str">
        <f t="shared" si="12"/>
        <v>#REF!</v>
      </c>
      <c r="H353" s="36" t="s">
        <v>21</v>
      </c>
      <c r="I353" s="37"/>
      <c r="J353" s="36"/>
      <c r="K353" s="38"/>
      <c r="L353" s="42"/>
      <c r="M353" s="38" t="e">
        <v>#N/A</v>
      </c>
      <c r="N353" s="38"/>
      <c r="O353" s="38"/>
      <c r="P353" s="39"/>
    </row>
    <row r="354">
      <c r="A354" s="33">
        <v>832.0</v>
      </c>
      <c r="B354" s="34">
        <v>832.0</v>
      </c>
      <c r="C354" s="34" t="str">
        <f>IFERROR(__xludf.DUMMYFUNCTION("if(B354&lt;=999,if(B354&lt;=99,IF(B354&lt;=9,join(,""000"",B354),join(,""00"",B354)),join(,""0"",B354)),B354)"),"0832")</f>
        <v>0832</v>
      </c>
      <c r="D354" s="35" t="s">
        <v>847</v>
      </c>
      <c r="E354" s="34" t="s">
        <v>35</v>
      </c>
      <c r="F354" s="34" t="str">
        <f t="shared" si="11"/>
        <v>#REF!</v>
      </c>
      <c r="G354" s="34" t="str">
        <f t="shared" si="12"/>
        <v>#REF!</v>
      </c>
      <c r="H354" s="36" t="s">
        <v>21</v>
      </c>
      <c r="I354" s="37"/>
      <c r="J354" s="36"/>
      <c r="K354" s="38"/>
      <c r="L354" s="42"/>
      <c r="M354" s="38" t="e">
        <v>#N/A</v>
      </c>
      <c r="N354" s="38"/>
      <c r="O354" s="38"/>
      <c r="P354" s="39"/>
    </row>
    <row r="355">
      <c r="A355" s="33">
        <v>740.0</v>
      </c>
      <c r="B355" s="34">
        <v>740.0</v>
      </c>
      <c r="C355" s="34" t="str">
        <f>IFERROR(__xludf.DUMMYFUNCTION("if(B355&lt;=999,if(B355&lt;=99,IF(B355&lt;=9,join(,""000"",B355),join(,""00"",B355)),join(,""0"",B355)),B355)"),"0740")</f>
        <v>0740</v>
      </c>
      <c r="D355" s="35" t="s">
        <v>848</v>
      </c>
      <c r="E355" s="34" t="s">
        <v>35</v>
      </c>
      <c r="F355" s="34" t="str">
        <f t="shared" si="11"/>
        <v>#REF!</v>
      </c>
      <c r="G355" s="34" t="str">
        <f t="shared" si="12"/>
        <v>#REF!</v>
      </c>
      <c r="H355" s="36" t="s">
        <v>21</v>
      </c>
      <c r="I355" s="37"/>
      <c r="J355" s="36"/>
      <c r="K355" s="38"/>
      <c r="L355" s="42"/>
      <c r="M355" s="38" t="e">
        <v>#N/A</v>
      </c>
      <c r="N355" s="38"/>
      <c r="O355" s="38"/>
      <c r="P355" s="39"/>
    </row>
    <row r="356">
      <c r="A356" s="51">
        <v>950.0</v>
      </c>
      <c r="B356" s="51">
        <v>950.0</v>
      </c>
      <c r="C356" s="34" t="str">
        <f>IFERROR(__xludf.DUMMYFUNCTION("if(B356&lt;=999,if(B356&lt;=99,IF(B356&lt;=9,join(,""000"",B356),join(,""00"",B356)),join(,""0"",B356)),B356)"),"0950")</f>
        <v>0950</v>
      </c>
      <c r="D356" s="52" t="s">
        <v>849</v>
      </c>
      <c r="E356" s="53" t="s">
        <v>20</v>
      </c>
      <c r="F356" s="34" t="str">
        <f t="shared" si="11"/>
        <v>#REF!</v>
      </c>
      <c r="G356" s="34" t="str">
        <f t="shared" si="12"/>
        <v>#REF!</v>
      </c>
      <c r="H356" s="54" t="s">
        <v>21</v>
      </c>
      <c r="I356" s="37" t="s">
        <v>77</v>
      </c>
      <c r="J356" s="54" t="s">
        <v>20</v>
      </c>
      <c r="K356" s="42" t="s">
        <v>95</v>
      </c>
      <c r="L356" s="42" t="s">
        <v>850</v>
      </c>
      <c r="M356" s="38">
        <v>8080.0</v>
      </c>
      <c r="N356" s="42" t="s">
        <v>25</v>
      </c>
      <c r="O356" s="42" t="s">
        <v>55</v>
      </c>
      <c r="P356" s="43" t="s">
        <v>82</v>
      </c>
    </row>
    <row r="357">
      <c r="A357" s="33">
        <v>1244.0</v>
      </c>
      <c r="B357" s="34">
        <v>1244.0</v>
      </c>
      <c r="C357" s="34">
        <f>IFERROR(__xludf.DUMMYFUNCTION("if(B357&lt;=999,if(B357&lt;=99,IF(B357&lt;=9,join(,""000"",B357),join(,""00"",B357)),join(,""0"",B357)),B357)"),1244.0)</f>
        <v>1244</v>
      </c>
      <c r="D357" s="35" t="s">
        <v>851</v>
      </c>
      <c r="E357" s="34" t="s">
        <v>20</v>
      </c>
      <c r="F357" s="34" t="str">
        <f t="shared" si="11"/>
        <v>#REF!</v>
      </c>
      <c r="G357" s="34" t="str">
        <f t="shared" si="12"/>
        <v>#REF!</v>
      </c>
      <c r="H357" s="36" t="s">
        <v>21</v>
      </c>
      <c r="I357" s="37" t="s">
        <v>22</v>
      </c>
      <c r="J357" s="36" t="s">
        <v>20</v>
      </c>
      <c r="K357" s="63"/>
      <c r="L357" s="63" t="s">
        <v>638</v>
      </c>
      <c r="M357" s="38" t="e">
        <v>#N/A</v>
      </c>
      <c r="N357" s="63" t="s">
        <v>25</v>
      </c>
      <c r="O357" s="63" t="s">
        <v>86</v>
      </c>
      <c r="P357" s="63"/>
    </row>
    <row r="358">
      <c r="A358" s="51">
        <v>83.0</v>
      </c>
      <c r="B358" s="51">
        <v>83.0</v>
      </c>
      <c r="C358" s="34" t="str">
        <f>IFERROR(__xludf.DUMMYFUNCTION("if(B358&lt;=999,if(B358&lt;=99,IF(B358&lt;=9,join(,""000"",B358),join(,""00"",B358)),join(,""0"",B358)),B358)"),"0083")</f>
        <v>0083</v>
      </c>
      <c r="D358" s="52" t="s">
        <v>852</v>
      </c>
      <c r="E358" s="53" t="s">
        <v>20</v>
      </c>
      <c r="F358" s="34" t="str">
        <f t="shared" si="11"/>
        <v>#REF!</v>
      </c>
      <c r="G358" s="34" t="str">
        <f t="shared" si="12"/>
        <v>#REF!</v>
      </c>
      <c r="H358" s="54" t="s">
        <v>21</v>
      </c>
      <c r="I358" s="81" t="s">
        <v>117</v>
      </c>
      <c r="J358" s="54" t="s">
        <v>35</v>
      </c>
      <c r="K358" s="42"/>
      <c r="L358" s="42"/>
      <c r="M358" s="38">
        <v>16.0</v>
      </c>
      <c r="N358" s="42"/>
      <c r="O358" s="42"/>
      <c r="P358" s="43" t="s">
        <v>43</v>
      </c>
    </row>
    <row r="359">
      <c r="A359" s="33">
        <v>37.0</v>
      </c>
      <c r="B359" s="34">
        <v>37.0</v>
      </c>
      <c r="C359" s="34" t="str">
        <f>IFERROR(__xludf.DUMMYFUNCTION("if(B359&lt;=999,if(B359&lt;=99,IF(B359&lt;=9,join(,""000"",B359),join(,""00"",B359)),join(,""0"",B359)),B359)"),"0037")</f>
        <v>0037</v>
      </c>
      <c r="D359" s="35" t="s">
        <v>853</v>
      </c>
      <c r="E359" s="34" t="s">
        <v>20</v>
      </c>
      <c r="F359" s="34" t="str">
        <f t="shared" si="11"/>
        <v>#REF!</v>
      </c>
      <c r="G359" s="34" t="str">
        <f t="shared" si="12"/>
        <v>#REF!</v>
      </c>
      <c r="H359" s="36" t="s">
        <v>21</v>
      </c>
      <c r="I359" s="37" t="s">
        <v>22</v>
      </c>
      <c r="J359" s="36" t="s">
        <v>20</v>
      </c>
      <c r="K359" s="42" t="s">
        <v>95</v>
      </c>
      <c r="L359" s="36" t="s">
        <v>854</v>
      </c>
      <c r="M359" s="38" t="e">
        <v>#N/A</v>
      </c>
      <c r="N359" s="62" t="s">
        <v>25</v>
      </c>
      <c r="O359" s="62" t="s">
        <v>855</v>
      </c>
      <c r="P359" s="39"/>
    </row>
    <row r="360">
      <c r="A360" s="51">
        <v>723.0</v>
      </c>
      <c r="B360" s="51">
        <v>723.0</v>
      </c>
      <c r="C360" s="34" t="str">
        <f>IFERROR(__xludf.DUMMYFUNCTION("if(B360&lt;=999,if(B360&lt;=99,IF(B360&lt;=9,join(,""000"",B360),join(,""00"",B360)),join(,""0"",B360)),B360)"),"0723")</f>
        <v>0723</v>
      </c>
      <c r="D360" s="52" t="s">
        <v>856</v>
      </c>
      <c r="E360" s="34" t="s">
        <v>20</v>
      </c>
      <c r="F360" s="34" t="str">
        <f t="shared" si="11"/>
        <v>#REF!</v>
      </c>
      <c r="G360" s="34" t="str">
        <f t="shared" si="12"/>
        <v>#REF!</v>
      </c>
      <c r="H360" s="54" t="s">
        <v>21</v>
      </c>
      <c r="I360" s="37" t="s">
        <v>22</v>
      </c>
      <c r="J360" s="54" t="s">
        <v>20</v>
      </c>
      <c r="K360" s="42" t="s">
        <v>95</v>
      </c>
      <c r="L360" s="36" t="s">
        <v>854</v>
      </c>
      <c r="M360" s="38" t="e">
        <v>#N/A</v>
      </c>
      <c r="N360" s="62" t="s">
        <v>25</v>
      </c>
      <c r="O360" s="62" t="s">
        <v>855</v>
      </c>
      <c r="P360" s="43"/>
    </row>
    <row r="361">
      <c r="A361" s="51">
        <v>1086.0</v>
      </c>
      <c r="B361" s="51">
        <v>1086.0</v>
      </c>
      <c r="C361" s="34">
        <f>IFERROR(__xludf.DUMMYFUNCTION("if(B361&lt;=999,if(B361&lt;=99,IF(B361&lt;=9,join(,""000"",B361),join(,""00"",B361)),join(,""0"",B361)),B361)"),1086.0)</f>
        <v>1086</v>
      </c>
      <c r="D361" s="52" t="s">
        <v>857</v>
      </c>
      <c r="E361" s="53" t="s">
        <v>20</v>
      </c>
      <c r="F361" s="34" t="str">
        <f t="shared" si="11"/>
        <v>#REF!</v>
      </c>
      <c r="G361" s="34" t="str">
        <f t="shared" si="12"/>
        <v>#REF!</v>
      </c>
      <c r="H361" s="54" t="s">
        <v>21</v>
      </c>
      <c r="I361" s="81" t="s">
        <v>77</v>
      </c>
      <c r="J361" s="54" t="s">
        <v>35</v>
      </c>
      <c r="K361" s="42"/>
      <c r="L361" s="42"/>
      <c r="M361" s="38" t="s">
        <v>858</v>
      </c>
      <c r="N361" s="42"/>
      <c r="O361" s="42"/>
      <c r="P361" s="43" t="s">
        <v>795</v>
      </c>
    </row>
    <row r="362">
      <c r="A362" s="51">
        <v>71.0</v>
      </c>
      <c r="B362" s="51">
        <v>71.0</v>
      </c>
      <c r="C362" s="34" t="str">
        <f>IFERROR(__xludf.DUMMYFUNCTION("if(B362&lt;=999,if(B362&lt;=99,IF(B362&lt;=9,join(,""000"",B362),join(,""00"",B362)),join(,""0"",B362)),B362)"),"0071")</f>
        <v>0071</v>
      </c>
      <c r="D362" s="52" t="s">
        <v>859</v>
      </c>
      <c r="E362" s="53" t="s">
        <v>20</v>
      </c>
      <c r="F362" s="34" t="str">
        <f t="shared" si="11"/>
        <v>#REF!</v>
      </c>
      <c r="G362" s="34" t="str">
        <f t="shared" si="12"/>
        <v>#REF!</v>
      </c>
      <c r="H362" s="54" t="s">
        <v>21</v>
      </c>
      <c r="I362" s="81" t="s">
        <v>77</v>
      </c>
      <c r="J362" s="54" t="s">
        <v>35</v>
      </c>
      <c r="K362" s="42"/>
      <c r="L362" s="42"/>
      <c r="M362" s="38" t="s">
        <v>858</v>
      </c>
      <c r="N362" s="42"/>
      <c r="O362" s="42"/>
      <c r="P362" s="43" t="s">
        <v>795</v>
      </c>
    </row>
    <row r="363">
      <c r="A363" s="51">
        <v>358.0</v>
      </c>
      <c r="B363" s="51">
        <v>358.0</v>
      </c>
      <c r="C363" s="34" t="str">
        <f>IFERROR(__xludf.DUMMYFUNCTION("if(B363&lt;=999,if(B363&lt;=99,IF(B363&lt;=9,join(,""000"",B363),join(,""00"",B363)),join(,""0"",B363)),B363)"),"0358")</f>
        <v>0358</v>
      </c>
      <c r="D363" s="52" t="s">
        <v>860</v>
      </c>
      <c r="E363" s="53" t="s">
        <v>35</v>
      </c>
      <c r="F363" s="34" t="str">
        <f t="shared" si="11"/>
        <v>#REF!</v>
      </c>
      <c r="G363" s="34" t="str">
        <f t="shared" si="12"/>
        <v>#REF!</v>
      </c>
      <c r="H363" s="54" t="s">
        <v>21</v>
      </c>
      <c r="I363" s="81"/>
      <c r="J363" s="54"/>
      <c r="K363" s="42"/>
      <c r="L363" s="42"/>
      <c r="M363" s="38" t="e">
        <v>#N/A</v>
      </c>
      <c r="N363" s="42"/>
      <c r="O363" s="42"/>
      <c r="P363" s="43"/>
    </row>
    <row r="364">
      <c r="A364" s="51">
        <v>1240.0</v>
      </c>
      <c r="B364" s="51">
        <v>1240.0</v>
      </c>
      <c r="C364" s="34">
        <f>IFERROR(__xludf.DUMMYFUNCTION("if(B364&lt;=999,if(B364&lt;=99,IF(B364&lt;=9,join(,""000"",B364),join(,""00"",B364)),join(,""0"",B364)),B364)"),1240.0)</f>
        <v>1240</v>
      </c>
      <c r="D364" s="52" t="s">
        <v>861</v>
      </c>
      <c r="E364" s="53" t="s">
        <v>20</v>
      </c>
      <c r="F364" s="34" t="str">
        <f t="shared" si="11"/>
        <v>#REF!</v>
      </c>
      <c r="G364" s="34" t="str">
        <f t="shared" si="12"/>
        <v>#REF!</v>
      </c>
      <c r="H364" s="54" t="s">
        <v>21</v>
      </c>
      <c r="I364" s="81" t="s">
        <v>77</v>
      </c>
      <c r="J364" s="54" t="s">
        <v>35</v>
      </c>
      <c r="K364" s="42" t="s">
        <v>23</v>
      </c>
      <c r="L364" s="36" t="s">
        <v>862</v>
      </c>
      <c r="M364" s="38">
        <v>8008.0</v>
      </c>
      <c r="N364" s="62" t="s">
        <v>863</v>
      </c>
      <c r="O364" s="62" t="s">
        <v>864</v>
      </c>
      <c r="P364" s="43" t="s">
        <v>61</v>
      </c>
    </row>
    <row r="365">
      <c r="A365" s="51">
        <v>1446.0</v>
      </c>
      <c r="B365" s="51">
        <v>1446.0</v>
      </c>
      <c r="C365" s="34">
        <f>IFERROR(__xludf.DUMMYFUNCTION("if(B365&lt;=999,if(B365&lt;=99,IF(B365&lt;=9,join(,""000"",B365),join(,""00"",B365)),join(,""0"",B365)),B365)"),1446.0)</f>
        <v>1446</v>
      </c>
      <c r="D365" s="52" t="s">
        <v>865</v>
      </c>
      <c r="E365" s="53" t="s">
        <v>20</v>
      </c>
      <c r="F365" s="34" t="str">
        <f t="shared" si="11"/>
        <v>#REF!</v>
      </c>
      <c r="G365" s="34" t="str">
        <f t="shared" si="12"/>
        <v>#REF!</v>
      </c>
      <c r="H365" s="54" t="s">
        <v>21</v>
      </c>
      <c r="I365" s="81" t="s">
        <v>77</v>
      </c>
      <c r="J365" s="54" t="s">
        <v>35</v>
      </c>
      <c r="K365" s="42" t="s">
        <v>23</v>
      </c>
      <c r="L365" s="36" t="s">
        <v>862</v>
      </c>
      <c r="M365" s="38">
        <v>8008.0</v>
      </c>
      <c r="N365" s="62" t="s">
        <v>863</v>
      </c>
      <c r="O365" s="62" t="s">
        <v>864</v>
      </c>
      <c r="P365" s="43" t="s">
        <v>61</v>
      </c>
    </row>
    <row r="366">
      <c r="A366" s="51">
        <v>1146.0</v>
      </c>
      <c r="B366" s="51">
        <v>1146.0</v>
      </c>
      <c r="C366" s="34">
        <f>IFERROR(__xludf.DUMMYFUNCTION("if(B366&lt;=999,if(B366&lt;=99,IF(B366&lt;=9,join(,""000"",B366),join(,""00"",B366)),join(,""0"",B366)),B366)"),1146.0)</f>
        <v>1146</v>
      </c>
      <c r="D366" s="52" t="s">
        <v>866</v>
      </c>
      <c r="E366" s="53" t="s">
        <v>20</v>
      </c>
      <c r="F366" s="34" t="str">
        <f t="shared" si="11"/>
        <v>#REF!</v>
      </c>
      <c r="G366" s="34" t="str">
        <f t="shared" si="12"/>
        <v>#REF!</v>
      </c>
      <c r="H366" s="54" t="s">
        <v>21</v>
      </c>
      <c r="I366" s="81" t="s">
        <v>99</v>
      </c>
      <c r="J366" s="54" t="s">
        <v>35</v>
      </c>
      <c r="K366" s="42" t="s">
        <v>23</v>
      </c>
      <c r="L366" s="36" t="s">
        <v>862</v>
      </c>
      <c r="M366" s="38">
        <v>8008.0</v>
      </c>
      <c r="N366" s="62" t="s">
        <v>863</v>
      </c>
      <c r="O366" s="62" t="s">
        <v>864</v>
      </c>
      <c r="P366" s="43" t="s">
        <v>66</v>
      </c>
    </row>
    <row r="367">
      <c r="A367" s="51">
        <v>60.0</v>
      </c>
      <c r="B367" s="51">
        <v>60.0</v>
      </c>
      <c r="C367" s="34" t="str">
        <f>IFERROR(__xludf.DUMMYFUNCTION("if(B367&lt;=999,if(B367&lt;=99,IF(B367&lt;=9,join(,""000"",B367),join(,""00"",B367)),join(,""0"",B367)),B367)"),"0060")</f>
        <v>0060</v>
      </c>
      <c r="D367" s="52" t="s">
        <v>867</v>
      </c>
      <c r="E367" s="53" t="s">
        <v>20</v>
      </c>
      <c r="F367" s="34" t="str">
        <f t="shared" si="11"/>
        <v>#REF!</v>
      </c>
      <c r="G367" s="34" t="str">
        <f t="shared" si="12"/>
        <v>#REF!</v>
      </c>
      <c r="H367" s="54" t="s">
        <v>21</v>
      </c>
      <c r="I367" s="37" t="s">
        <v>22</v>
      </c>
      <c r="J367" s="54" t="s">
        <v>35</v>
      </c>
      <c r="K367" s="42" t="s">
        <v>28</v>
      </c>
      <c r="L367" s="42"/>
      <c r="M367" s="38" t="s">
        <v>244</v>
      </c>
      <c r="N367" s="62" t="s">
        <v>25</v>
      </c>
      <c r="O367" s="62" t="s">
        <v>86</v>
      </c>
      <c r="P367" s="43" t="s">
        <v>106</v>
      </c>
    </row>
    <row r="368">
      <c r="A368" s="55">
        <v>1346.0</v>
      </c>
      <c r="B368" s="55">
        <v>1346.0</v>
      </c>
      <c r="C368" s="45">
        <f>IFERROR(__xludf.DUMMYFUNCTION("if(B368&lt;=999,if(B368&lt;=99,IF(B368&lt;=9,join(,""000"",B368),join(,""00"",B368)),join(,""0"",B368)),B368)"),1346.0)</f>
        <v>1346</v>
      </c>
      <c r="D368" s="56" t="s">
        <v>868</v>
      </c>
      <c r="E368" s="55" t="s">
        <v>20</v>
      </c>
      <c r="F368" s="45" t="str">
        <f t="shared" si="11"/>
        <v>#REF!</v>
      </c>
      <c r="G368" s="45" t="str">
        <f t="shared" si="12"/>
        <v>#REF!</v>
      </c>
      <c r="H368" s="57" t="s">
        <v>21</v>
      </c>
      <c r="I368" s="48" t="s">
        <v>77</v>
      </c>
      <c r="J368" s="57" t="s">
        <v>35</v>
      </c>
      <c r="K368" s="60" t="s">
        <v>23</v>
      </c>
      <c r="L368" s="60" t="s">
        <v>869</v>
      </c>
      <c r="M368" s="49">
        <v>8000.0</v>
      </c>
      <c r="N368" s="62" t="s">
        <v>513</v>
      </c>
      <c r="O368" s="62" t="s">
        <v>870</v>
      </c>
      <c r="P368" s="61" t="s">
        <v>871</v>
      </c>
    </row>
    <row r="369">
      <c r="A369" s="51">
        <v>831.0</v>
      </c>
      <c r="B369" s="51">
        <v>831.0</v>
      </c>
      <c r="C369" s="34" t="str">
        <f>IFERROR(__xludf.DUMMYFUNCTION("if(B369&lt;=999,if(B369&lt;=99,IF(B369&lt;=9,join(,""000"",B369),join(,""00"",B369)),join(,""0"",B369)),B369)"),"0831")</f>
        <v>0831</v>
      </c>
      <c r="D369" s="52" t="s">
        <v>872</v>
      </c>
      <c r="E369" s="53" t="s">
        <v>20</v>
      </c>
      <c r="F369" s="34" t="str">
        <f t="shared" si="11"/>
        <v>#REF!</v>
      </c>
      <c r="G369" s="34" t="str">
        <f t="shared" si="12"/>
        <v>#REF!</v>
      </c>
      <c r="H369" s="54" t="s">
        <v>21</v>
      </c>
      <c r="I369" s="37" t="s">
        <v>34</v>
      </c>
      <c r="J369" s="54" t="s">
        <v>35</v>
      </c>
      <c r="K369" s="42" t="s">
        <v>95</v>
      </c>
      <c r="L369" s="36" t="s">
        <v>873</v>
      </c>
      <c r="M369" s="38">
        <v>36666.0</v>
      </c>
      <c r="N369" s="62" t="s">
        <v>25</v>
      </c>
      <c r="O369" s="62" t="s">
        <v>86</v>
      </c>
      <c r="P369" s="43" t="s">
        <v>874</v>
      </c>
    </row>
    <row r="370">
      <c r="A370" s="51">
        <v>25.0</v>
      </c>
      <c r="B370" s="51">
        <v>25.0</v>
      </c>
      <c r="C370" s="34" t="str">
        <f>IFERROR(__xludf.DUMMYFUNCTION("if(B370&lt;=999,if(B370&lt;=99,IF(B370&lt;=9,join(,""000"",B370),join(,""00"",B370)),join(,""0"",B370)),B370)"),"0025")</f>
        <v>0025</v>
      </c>
      <c r="D370" s="52" t="s">
        <v>875</v>
      </c>
      <c r="E370" s="53" t="s">
        <v>20</v>
      </c>
      <c r="F370" s="34" t="str">
        <f t="shared" si="11"/>
        <v>#REF!</v>
      </c>
      <c r="G370" s="34" t="str">
        <f t="shared" si="12"/>
        <v>#REF!</v>
      </c>
      <c r="H370" s="54" t="s">
        <v>21</v>
      </c>
      <c r="I370" s="37" t="s">
        <v>60</v>
      </c>
      <c r="J370" s="54" t="s">
        <v>20</v>
      </c>
      <c r="K370" s="63" t="s">
        <v>330</v>
      </c>
      <c r="L370" s="63" t="s">
        <v>876</v>
      </c>
      <c r="M370" s="38">
        <v>80.0</v>
      </c>
      <c r="N370" s="63" t="s">
        <v>25</v>
      </c>
      <c r="O370" s="63" t="s">
        <v>86</v>
      </c>
      <c r="P370" s="63"/>
    </row>
    <row r="371">
      <c r="A371" s="51">
        <v>1375.0</v>
      </c>
      <c r="B371" s="51">
        <v>1375.0</v>
      </c>
      <c r="C371" s="34">
        <f>IFERROR(__xludf.DUMMYFUNCTION("if(B371&lt;=999,if(B371&lt;=99,IF(B371&lt;=9,join(,""000"",B371),join(,""00"",B371)),join(,""0"",B371)),B371)"),1375.0)</f>
        <v>1375</v>
      </c>
      <c r="D371" s="52" t="s">
        <v>877</v>
      </c>
      <c r="E371" s="53" t="s">
        <v>20</v>
      </c>
      <c r="F371" s="34" t="str">
        <f t="shared" si="11"/>
        <v>#REF!</v>
      </c>
      <c r="G371" s="34" t="str">
        <f t="shared" si="12"/>
        <v>#REF!</v>
      </c>
      <c r="H371" s="54" t="s">
        <v>21</v>
      </c>
      <c r="I371" s="81" t="s">
        <v>99</v>
      </c>
      <c r="J371" s="54" t="s">
        <v>20</v>
      </c>
      <c r="K371" s="42" t="s">
        <v>95</v>
      </c>
      <c r="L371" s="43" t="s">
        <v>878</v>
      </c>
      <c r="M371" s="38">
        <v>80.0</v>
      </c>
      <c r="N371" s="42" t="s">
        <v>25</v>
      </c>
      <c r="O371" s="42" t="s">
        <v>86</v>
      </c>
      <c r="P371" s="43"/>
    </row>
    <row r="372">
      <c r="A372" s="51">
        <v>1128.0</v>
      </c>
      <c r="B372" s="51">
        <v>1128.0</v>
      </c>
      <c r="C372" s="34">
        <f>IFERROR(__xludf.DUMMYFUNCTION("if(B372&lt;=999,if(B372&lt;=99,IF(B372&lt;=9,join(,""000"",B372),join(,""00"",B372)),join(,""0"",B372)),B372)"),1128.0)</f>
        <v>1128</v>
      </c>
      <c r="D372" s="52" t="s">
        <v>879</v>
      </c>
      <c r="E372" s="53" t="s">
        <v>20</v>
      </c>
      <c r="F372" s="34"/>
      <c r="G372" s="34"/>
      <c r="H372" s="54"/>
      <c r="I372" s="37"/>
      <c r="J372" s="54"/>
      <c r="K372" s="42"/>
      <c r="L372" s="42"/>
      <c r="M372" s="38" t="s">
        <v>880</v>
      </c>
      <c r="N372" s="42"/>
      <c r="O372" s="42"/>
      <c r="P372" s="43" t="s">
        <v>106</v>
      </c>
    </row>
    <row r="373">
      <c r="A373" s="33">
        <v>631.0</v>
      </c>
      <c r="B373" s="34">
        <v>631.0</v>
      </c>
      <c r="C373" s="34" t="str">
        <f>IFERROR(__xludf.DUMMYFUNCTION("if(B373&lt;=999,if(B373&lt;=99,IF(B373&lt;=9,join(,""000"",B373),join(,""00"",B373)),join(,""0"",B373)),B373)"),"0631")</f>
        <v>0631</v>
      </c>
      <c r="D373" s="35" t="s">
        <v>881</v>
      </c>
      <c r="E373" s="34" t="s">
        <v>20</v>
      </c>
      <c r="F373" s="34" t="str">
        <f t="shared" ref="F373:F448" si="13">VLOOKUP(C373,'Copy of Form Responses; CCTV Infra 1'!$G$2:$I$675,2,false)</f>
        <v>#REF!</v>
      </c>
      <c r="G373" s="34" t="str">
        <f t="shared" ref="G373:G448" si="14">VLOOKUP(C373,'Copy of Form Responses; CCTV Infra 1'!$G$2:$I$675,3,false)</f>
        <v>#REF!</v>
      </c>
      <c r="H373" s="36" t="s">
        <v>21</v>
      </c>
      <c r="I373" s="37" t="s">
        <v>101</v>
      </c>
      <c r="J373" s="36" t="s">
        <v>20</v>
      </c>
      <c r="K373" s="38"/>
      <c r="L373" s="42"/>
      <c r="M373" s="38">
        <v>32.0</v>
      </c>
      <c r="N373" s="38"/>
      <c r="O373" s="38"/>
      <c r="P373" s="39"/>
    </row>
    <row r="374">
      <c r="A374" s="51">
        <v>1463.0</v>
      </c>
      <c r="B374" s="51">
        <v>1463.0</v>
      </c>
      <c r="C374" s="34">
        <f>IFERROR(__xludf.DUMMYFUNCTION("if(B374&lt;=999,if(B374&lt;=99,IF(B374&lt;=9,join(,""000"",B374),join(,""00"",B374)),join(,""0"",B374)),B374)"),1463.0)</f>
        <v>1463</v>
      </c>
      <c r="D374" s="52" t="s">
        <v>882</v>
      </c>
      <c r="E374" s="53" t="s">
        <v>20</v>
      </c>
      <c r="F374" s="34" t="str">
        <f t="shared" si="13"/>
        <v>#REF!</v>
      </c>
      <c r="G374" s="34" t="str">
        <f t="shared" si="14"/>
        <v>#REF!</v>
      </c>
      <c r="H374" s="54" t="s">
        <v>21</v>
      </c>
      <c r="I374" s="37" t="s">
        <v>22</v>
      </c>
      <c r="J374" s="54" t="s">
        <v>20</v>
      </c>
      <c r="K374" s="42" t="s">
        <v>883</v>
      </c>
      <c r="L374" s="36" t="s">
        <v>884</v>
      </c>
      <c r="M374" s="38">
        <v>80554.0</v>
      </c>
      <c r="N374" s="42" t="s">
        <v>25</v>
      </c>
      <c r="O374" s="42" t="s">
        <v>55</v>
      </c>
      <c r="P374" s="43"/>
    </row>
    <row r="375">
      <c r="A375" s="51">
        <v>1363.0</v>
      </c>
      <c r="B375" s="51">
        <v>1363.0</v>
      </c>
      <c r="C375" s="34">
        <f>IFERROR(__xludf.DUMMYFUNCTION("if(B375&lt;=999,if(B375&lt;=99,IF(B375&lt;=9,join(,""000"",B375),join(,""00"",B375)),join(,""0"",B375)),B375)"),1363.0)</f>
        <v>1363</v>
      </c>
      <c r="D375" s="52" t="s">
        <v>885</v>
      </c>
      <c r="E375" s="53" t="s">
        <v>35</v>
      </c>
      <c r="F375" s="34" t="str">
        <f t="shared" si="13"/>
        <v>#REF!</v>
      </c>
      <c r="G375" s="34" t="str">
        <f t="shared" si="14"/>
        <v>#REF!</v>
      </c>
      <c r="H375" s="54" t="s">
        <v>21</v>
      </c>
      <c r="I375" s="81"/>
      <c r="J375" s="54"/>
      <c r="K375" s="42"/>
      <c r="L375" s="42"/>
      <c r="M375" s="38" t="e">
        <v>#N/A</v>
      </c>
      <c r="N375" s="42"/>
      <c r="O375" s="42"/>
      <c r="P375" s="43"/>
    </row>
    <row r="376">
      <c r="A376" s="51">
        <v>1029.0</v>
      </c>
      <c r="B376" s="51">
        <v>1029.0</v>
      </c>
      <c r="C376" s="34">
        <f>IFERROR(__xludf.DUMMYFUNCTION("if(B376&lt;=999,if(B376&lt;=99,IF(B376&lt;=9,join(,""000"",B376),join(,""00"",B376)),join(,""0"",B376)),B376)"),1029.0)</f>
        <v>1029</v>
      </c>
      <c r="D376" s="52" t="s">
        <v>886</v>
      </c>
      <c r="E376" s="53" t="s">
        <v>20</v>
      </c>
      <c r="F376" s="34" t="str">
        <f t="shared" si="13"/>
        <v>#REF!</v>
      </c>
      <c r="G376" s="34" t="str">
        <f t="shared" si="14"/>
        <v>#REF!</v>
      </c>
      <c r="H376" s="54" t="s">
        <v>21</v>
      </c>
      <c r="I376" s="37" t="s">
        <v>22</v>
      </c>
      <c r="J376" s="54" t="s">
        <v>35</v>
      </c>
      <c r="K376" s="42" t="s">
        <v>28</v>
      </c>
      <c r="L376" s="36" t="s">
        <v>887</v>
      </c>
      <c r="M376" s="38">
        <v>80.0</v>
      </c>
      <c r="N376" s="62">
        <v>1.128046203E9</v>
      </c>
      <c r="O376" s="62" t="s">
        <v>888</v>
      </c>
      <c r="P376" s="43" t="s">
        <v>61</v>
      </c>
    </row>
    <row r="377">
      <c r="A377" s="51">
        <v>1350.0</v>
      </c>
      <c r="B377" s="51">
        <v>1350.0</v>
      </c>
      <c r="C377" s="34">
        <f>IFERROR(__xludf.DUMMYFUNCTION("if(B377&lt;=999,if(B377&lt;=99,IF(B377&lt;=9,join(,""000"",B377),join(,""00"",B377)),join(,""0"",B377)),B377)"),1350.0)</f>
        <v>1350</v>
      </c>
      <c r="D377" s="52" t="s">
        <v>889</v>
      </c>
      <c r="E377" s="53" t="s">
        <v>20</v>
      </c>
      <c r="F377" s="34" t="str">
        <f t="shared" si="13"/>
        <v>#REF!</v>
      </c>
      <c r="G377" s="34" t="str">
        <f t="shared" si="14"/>
        <v>#REF!</v>
      </c>
      <c r="H377" s="54" t="s">
        <v>21</v>
      </c>
      <c r="I377" s="81"/>
      <c r="J377" s="54"/>
      <c r="K377" s="42"/>
      <c r="L377" s="42"/>
      <c r="M377" s="38">
        <v>32.0</v>
      </c>
      <c r="N377" s="42"/>
      <c r="O377" s="42"/>
      <c r="P377" s="43"/>
    </row>
    <row r="378">
      <c r="A378" s="55">
        <v>1093.0</v>
      </c>
      <c r="B378" s="55">
        <v>1093.0</v>
      </c>
      <c r="C378" s="45">
        <f>IFERROR(__xludf.DUMMYFUNCTION("if(B378&lt;=999,if(B378&lt;=99,IF(B378&lt;=9,join(,""000"",B378),join(,""00"",B378)),join(,""0"",B378)),B378)"),1093.0)</f>
        <v>1093</v>
      </c>
      <c r="D378" s="56" t="s">
        <v>890</v>
      </c>
      <c r="E378" s="55" t="s">
        <v>20</v>
      </c>
      <c r="F378" s="45" t="str">
        <f t="shared" si="13"/>
        <v>#REF!</v>
      </c>
      <c r="G378" s="45" t="str">
        <f t="shared" si="14"/>
        <v>#REF!</v>
      </c>
      <c r="H378" s="57" t="s">
        <v>21</v>
      </c>
      <c r="I378" s="48" t="s">
        <v>77</v>
      </c>
      <c r="J378" s="57" t="s">
        <v>20</v>
      </c>
      <c r="K378" s="60" t="s">
        <v>28</v>
      </c>
      <c r="L378" s="60" t="s">
        <v>891</v>
      </c>
      <c r="M378" s="49">
        <v>16.0</v>
      </c>
      <c r="N378" s="60" t="s">
        <v>892</v>
      </c>
      <c r="O378" s="60" t="s">
        <v>893</v>
      </c>
      <c r="P378" s="61"/>
    </row>
    <row r="379">
      <c r="A379" s="51">
        <v>1222.0</v>
      </c>
      <c r="B379" s="51">
        <v>1222.0</v>
      </c>
      <c r="C379" s="34">
        <f>IFERROR(__xludf.DUMMYFUNCTION("if(B379&lt;=999,if(B379&lt;=99,IF(B379&lt;=9,join(,""000"",B379),join(,""00"",B379)),join(,""0"",B379)),B379)"),1222.0)</f>
        <v>1222</v>
      </c>
      <c r="D379" s="52" t="s">
        <v>894</v>
      </c>
      <c r="E379" s="53" t="s">
        <v>20</v>
      </c>
      <c r="F379" s="34" t="str">
        <f t="shared" si="13"/>
        <v>#REF!</v>
      </c>
      <c r="G379" s="34" t="str">
        <f t="shared" si="14"/>
        <v>#REF!</v>
      </c>
      <c r="H379" s="54" t="s">
        <v>21</v>
      </c>
      <c r="I379" s="37" t="s">
        <v>77</v>
      </c>
      <c r="J379" s="54" t="s">
        <v>20</v>
      </c>
      <c r="K379" s="42" t="s">
        <v>330</v>
      </c>
      <c r="L379" s="42" t="s">
        <v>895</v>
      </c>
      <c r="M379" s="38">
        <v>25001.0</v>
      </c>
      <c r="N379" s="42" t="s">
        <v>25</v>
      </c>
      <c r="O379" s="42" t="s">
        <v>25</v>
      </c>
      <c r="P379" s="43"/>
    </row>
    <row r="380">
      <c r="A380" s="51">
        <v>1023.0</v>
      </c>
      <c r="B380" s="51">
        <v>1023.0</v>
      </c>
      <c r="C380" s="34">
        <f>IFERROR(__xludf.DUMMYFUNCTION("if(B380&lt;=999,if(B380&lt;=99,IF(B380&lt;=9,join(,""000"",B380),join(,""00"",B380)),join(,""0"",B380)),B380)"),1023.0)</f>
        <v>1023</v>
      </c>
      <c r="D380" s="52" t="s">
        <v>896</v>
      </c>
      <c r="E380" s="53" t="s">
        <v>20</v>
      </c>
      <c r="F380" s="34" t="str">
        <f t="shared" si="13"/>
        <v>#REF!</v>
      </c>
      <c r="G380" s="34" t="str">
        <f t="shared" si="14"/>
        <v>#REF!</v>
      </c>
      <c r="H380" s="54" t="s">
        <v>21</v>
      </c>
      <c r="I380" s="81" t="s">
        <v>22</v>
      </c>
      <c r="J380" s="54" t="s">
        <v>20</v>
      </c>
      <c r="K380" s="42" t="s">
        <v>360</v>
      </c>
      <c r="L380" s="42" t="s">
        <v>897</v>
      </c>
      <c r="M380" s="38">
        <v>25001.0</v>
      </c>
      <c r="N380" s="42" t="s">
        <v>25</v>
      </c>
      <c r="O380" s="42" t="s">
        <v>86</v>
      </c>
      <c r="P380" s="43" t="s">
        <v>82</v>
      </c>
    </row>
    <row r="381">
      <c r="A381" s="51">
        <v>1222.0</v>
      </c>
      <c r="B381" s="51">
        <v>1222.0</v>
      </c>
      <c r="C381" s="34">
        <v>1222.0</v>
      </c>
      <c r="D381" s="52" t="s">
        <v>896</v>
      </c>
      <c r="E381" s="53" t="s">
        <v>20</v>
      </c>
      <c r="F381" s="34" t="str">
        <f t="shared" si="13"/>
        <v>#REF!</v>
      </c>
      <c r="G381" s="34" t="str">
        <f t="shared" si="14"/>
        <v>#REF!</v>
      </c>
      <c r="H381" s="54" t="s">
        <v>21</v>
      </c>
      <c r="I381" s="81" t="s">
        <v>22</v>
      </c>
      <c r="J381" s="54" t="s">
        <v>20</v>
      </c>
      <c r="K381" s="42" t="s">
        <v>360</v>
      </c>
      <c r="L381" s="42" t="s">
        <v>897</v>
      </c>
      <c r="M381" s="38">
        <v>25001.0</v>
      </c>
      <c r="N381" s="42" t="s">
        <v>25</v>
      </c>
      <c r="O381" s="42" t="s">
        <v>86</v>
      </c>
      <c r="P381" s="43" t="s">
        <v>82</v>
      </c>
    </row>
    <row r="382">
      <c r="A382" s="51">
        <v>1421.0</v>
      </c>
      <c r="B382" s="51">
        <v>1421.0</v>
      </c>
      <c r="C382" s="34">
        <f>IFERROR(__xludf.DUMMYFUNCTION("if(B382&lt;=999,if(B382&lt;=99,IF(B382&lt;=9,join(,""000"",B382),join(,""00"",B382)),join(,""0"",B382)),B382)"),1421.0)</f>
        <v>1421</v>
      </c>
      <c r="D382" s="52" t="s">
        <v>898</v>
      </c>
      <c r="E382" s="53" t="s">
        <v>20</v>
      </c>
      <c r="F382" s="34" t="str">
        <f t="shared" si="13"/>
        <v>#REF!</v>
      </c>
      <c r="G382" s="34" t="str">
        <f t="shared" si="14"/>
        <v>#REF!</v>
      </c>
      <c r="H382" s="54" t="s">
        <v>21</v>
      </c>
      <c r="I382" s="37" t="s">
        <v>22</v>
      </c>
      <c r="J382" s="54" t="s">
        <v>35</v>
      </c>
      <c r="K382" s="42"/>
      <c r="L382" s="42"/>
      <c r="M382" s="38">
        <v>32.0</v>
      </c>
      <c r="N382" s="42"/>
      <c r="O382" s="42"/>
      <c r="P382" s="43" t="s">
        <v>899</v>
      </c>
    </row>
    <row r="383">
      <c r="A383" s="51">
        <v>1260.0</v>
      </c>
      <c r="B383" s="51">
        <v>1260.0</v>
      </c>
      <c r="C383" s="34">
        <f>IFERROR(__xludf.DUMMYFUNCTION("if(B383&lt;=999,if(B383&lt;=99,IF(B383&lt;=9,join(,""000"",B383),join(,""00"",B383)),join(,""0"",B383)),B383)"),1260.0)</f>
        <v>1260</v>
      </c>
      <c r="D383" s="52" t="s">
        <v>900</v>
      </c>
      <c r="E383" s="53" t="s">
        <v>20</v>
      </c>
      <c r="F383" s="34" t="str">
        <f t="shared" si="13"/>
        <v>#REF!</v>
      </c>
      <c r="G383" s="34" t="str">
        <f t="shared" si="14"/>
        <v>#REF!</v>
      </c>
      <c r="H383" s="54" t="s">
        <v>21</v>
      </c>
      <c r="I383" s="37" t="s">
        <v>77</v>
      </c>
      <c r="J383" s="54" t="s">
        <v>20</v>
      </c>
      <c r="K383" s="42" t="s">
        <v>360</v>
      </c>
      <c r="L383" s="42" t="s">
        <v>901</v>
      </c>
      <c r="M383" s="38">
        <v>8000.0</v>
      </c>
      <c r="N383" s="42" t="s">
        <v>104</v>
      </c>
      <c r="O383" s="42" t="s">
        <v>902</v>
      </c>
      <c r="P383" s="43" t="s">
        <v>97</v>
      </c>
    </row>
    <row r="384">
      <c r="A384" s="33">
        <v>36.0</v>
      </c>
      <c r="B384" s="34">
        <v>36.0</v>
      </c>
      <c r="C384" s="34" t="str">
        <f>IFERROR(__xludf.DUMMYFUNCTION("if(B384&lt;=999,if(B384&lt;=99,IF(B384&lt;=9,join(,""000"",B384),join(,""00"",B384)),join(,""0"",B384)),B384)"),"0036")</f>
        <v>0036</v>
      </c>
      <c r="D384" s="35" t="s">
        <v>903</v>
      </c>
      <c r="E384" s="34" t="s">
        <v>20</v>
      </c>
      <c r="F384" s="34" t="str">
        <f t="shared" si="13"/>
        <v>#REF!</v>
      </c>
      <c r="G384" s="34" t="str">
        <f t="shared" si="14"/>
        <v>#REF!</v>
      </c>
      <c r="H384" s="36" t="s">
        <v>21</v>
      </c>
      <c r="I384" s="37" t="s">
        <v>101</v>
      </c>
      <c r="J384" s="36" t="s">
        <v>20</v>
      </c>
      <c r="K384" s="38" t="s">
        <v>137</v>
      </c>
      <c r="L384" s="38" t="s">
        <v>904</v>
      </c>
      <c r="M384" s="38" t="s">
        <v>905</v>
      </c>
      <c r="N384" s="38" t="s">
        <v>906</v>
      </c>
      <c r="O384" s="38" t="s">
        <v>907</v>
      </c>
      <c r="P384" s="39" t="s">
        <v>82</v>
      </c>
    </row>
    <row r="385">
      <c r="A385" s="33">
        <v>796.0</v>
      </c>
      <c r="B385" s="34">
        <v>796.0</v>
      </c>
      <c r="C385" s="34" t="str">
        <f>IFERROR(__xludf.DUMMYFUNCTION("if(B385&lt;=999,if(B385&lt;=99,IF(B385&lt;=9,join(,""000"",B385),join(,""00"",B385)),join(,""0"",B385)),B385)"),"0796")</f>
        <v>0796</v>
      </c>
      <c r="D385" s="35" t="s">
        <v>908</v>
      </c>
      <c r="E385" s="34" t="s">
        <v>20</v>
      </c>
      <c r="F385" s="34" t="str">
        <f t="shared" si="13"/>
        <v>#REF!</v>
      </c>
      <c r="G385" s="34" t="str">
        <f t="shared" si="14"/>
        <v>#REF!</v>
      </c>
      <c r="H385" s="36" t="s">
        <v>21</v>
      </c>
      <c r="I385" s="37" t="s">
        <v>22</v>
      </c>
      <c r="J385" s="36" t="s">
        <v>20</v>
      </c>
      <c r="K385" s="42" t="s">
        <v>28</v>
      </c>
      <c r="L385" s="36" t="s">
        <v>909</v>
      </c>
      <c r="M385" s="38" t="s">
        <v>910</v>
      </c>
      <c r="N385" s="42" t="s">
        <v>25</v>
      </c>
      <c r="O385" s="42" t="s">
        <v>25</v>
      </c>
      <c r="P385" s="43" t="s">
        <v>911</v>
      </c>
    </row>
    <row r="386">
      <c r="A386" s="55">
        <v>250.0</v>
      </c>
      <c r="B386" s="55">
        <v>250.0</v>
      </c>
      <c r="C386" s="45" t="str">
        <f>IFERROR(__xludf.DUMMYFUNCTION("if(B386&lt;=999,if(B386&lt;=99,IF(B386&lt;=9,join(,""000"",B386),join(,""00"",B386)),join(,""0"",B386)),B386)"),"0250")</f>
        <v>0250</v>
      </c>
      <c r="D386" s="56" t="s">
        <v>912</v>
      </c>
      <c r="E386" s="55" t="s">
        <v>20</v>
      </c>
      <c r="F386" s="45" t="str">
        <f t="shared" si="13"/>
        <v>#REF!</v>
      </c>
      <c r="G386" s="45" t="str">
        <f t="shared" si="14"/>
        <v>#REF!</v>
      </c>
      <c r="H386" s="57" t="s">
        <v>21</v>
      </c>
      <c r="I386" s="83" t="s">
        <v>22</v>
      </c>
      <c r="J386" s="57" t="s">
        <v>35</v>
      </c>
      <c r="K386" s="60" t="s">
        <v>95</v>
      </c>
      <c r="L386" s="60" t="s">
        <v>913</v>
      </c>
      <c r="M386" s="49">
        <v>22.0</v>
      </c>
      <c r="N386" s="60" t="s">
        <v>25</v>
      </c>
      <c r="O386" s="60" t="s">
        <v>914</v>
      </c>
      <c r="P386" s="61" t="s">
        <v>43</v>
      </c>
    </row>
    <row r="387">
      <c r="A387" s="51">
        <v>1410.0</v>
      </c>
      <c r="B387" s="51">
        <v>1410.0</v>
      </c>
      <c r="C387" s="34">
        <f>IFERROR(__xludf.DUMMYFUNCTION("if(B387&lt;=999,if(B387&lt;=99,IF(B387&lt;=9,join(,""000"",B387),join(,""00"",B387)),join(,""0"",B387)),B387)"),1410.0)</f>
        <v>1410</v>
      </c>
      <c r="D387" s="52" t="s">
        <v>915</v>
      </c>
      <c r="E387" s="53" t="s">
        <v>20</v>
      </c>
      <c r="F387" s="34" t="str">
        <f t="shared" si="13"/>
        <v>#REF!</v>
      </c>
      <c r="G387" s="34" t="str">
        <f t="shared" si="14"/>
        <v>#REF!</v>
      </c>
      <c r="H387" s="54" t="s">
        <v>21</v>
      </c>
      <c r="I387" s="81"/>
      <c r="J387" s="54"/>
      <c r="K387" s="42"/>
      <c r="L387" s="42"/>
      <c r="M387" s="38" t="s">
        <v>916</v>
      </c>
      <c r="N387" s="42"/>
      <c r="O387" s="42"/>
      <c r="P387" s="43"/>
    </row>
    <row r="388">
      <c r="A388" s="51">
        <v>118.0</v>
      </c>
      <c r="B388" s="51">
        <v>118.0</v>
      </c>
      <c r="C388" s="34" t="str">
        <f>IFERROR(__xludf.DUMMYFUNCTION("if(B388&lt;=999,if(B388&lt;=99,IF(B388&lt;=9,join(,""000"",B388),join(,""00"",B388)),join(,""0"",B388)),B388)"),"0118")</f>
        <v>0118</v>
      </c>
      <c r="D388" s="52" t="s">
        <v>917</v>
      </c>
      <c r="E388" s="53" t="s">
        <v>20</v>
      </c>
      <c r="F388" s="34" t="str">
        <f t="shared" si="13"/>
        <v>#REF!</v>
      </c>
      <c r="G388" s="34" t="str">
        <f t="shared" si="14"/>
        <v>#REF!</v>
      </c>
      <c r="H388" s="54" t="s">
        <v>21</v>
      </c>
      <c r="I388" s="81" t="s">
        <v>60</v>
      </c>
      <c r="J388" s="54" t="s">
        <v>35</v>
      </c>
      <c r="K388" s="42"/>
      <c r="L388" s="42"/>
      <c r="M388" s="38">
        <v>16.0</v>
      </c>
      <c r="N388" s="42"/>
      <c r="O388" s="42"/>
      <c r="P388" s="43" t="s">
        <v>918</v>
      </c>
    </row>
    <row r="389">
      <c r="A389" s="33">
        <v>1266.0</v>
      </c>
      <c r="B389" s="34">
        <v>1266.0</v>
      </c>
      <c r="C389" s="34">
        <f>IFERROR(__xludf.DUMMYFUNCTION("if(B389&lt;=999,if(B389&lt;=99,IF(B389&lt;=9,join(,""000"",B389),join(,""00"",B389)),join(,""0"",B389)),B389)"),1266.0)</f>
        <v>1266</v>
      </c>
      <c r="D389" s="35" t="s">
        <v>919</v>
      </c>
      <c r="E389" s="34" t="s">
        <v>35</v>
      </c>
      <c r="F389" s="34" t="str">
        <f t="shared" si="13"/>
        <v>#REF!</v>
      </c>
      <c r="G389" s="34" t="str">
        <f t="shared" si="14"/>
        <v>#REF!</v>
      </c>
      <c r="H389" s="36" t="s">
        <v>21</v>
      </c>
      <c r="I389" s="37"/>
      <c r="J389" s="36"/>
      <c r="K389" s="38"/>
      <c r="L389" s="42"/>
      <c r="M389" s="38" t="e">
        <v>#N/A</v>
      </c>
      <c r="N389" s="38"/>
      <c r="O389" s="38"/>
      <c r="P389" s="39"/>
    </row>
    <row r="390">
      <c r="A390" s="51">
        <v>70.0</v>
      </c>
      <c r="B390" s="51">
        <v>70.0</v>
      </c>
      <c r="C390" s="34" t="str">
        <f>IFERROR(__xludf.DUMMYFUNCTION("if(B390&lt;=999,if(B390&lt;=99,IF(B390&lt;=9,join(,""000"",B390),join(,""00"",B390)),join(,""0"",B390)),B390)"),"0070")</f>
        <v>0070</v>
      </c>
      <c r="D390" s="52" t="s">
        <v>920</v>
      </c>
      <c r="E390" s="53" t="s">
        <v>35</v>
      </c>
      <c r="F390" s="34" t="str">
        <f t="shared" si="13"/>
        <v>#REF!</v>
      </c>
      <c r="G390" s="34" t="str">
        <f t="shared" si="14"/>
        <v>#REF!</v>
      </c>
      <c r="H390" s="54" t="s">
        <v>21</v>
      </c>
      <c r="I390" s="81"/>
      <c r="J390" s="54"/>
      <c r="K390" s="42"/>
      <c r="L390" s="42"/>
      <c r="M390" s="38" t="e">
        <v>#N/A</v>
      </c>
      <c r="N390" s="42"/>
      <c r="O390" s="42"/>
      <c r="P390" s="43"/>
    </row>
    <row r="391">
      <c r="A391" s="51">
        <v>85.0</v>
      </c>
      <c r="B391" s="51">
        <v>85.0</v>
      </c>
      <c r="C391" s="34" t="str">
        <f>IFERROR(__xludf.DUMMYFUNCTION("if(B391&lt;=999,if(B391&lt;=99,IF(B391&lt;=9,join(,""000"",B391),join(,""00"",B391)),join(,""0"",B391)),B391)"),"0085")</f>
        <v>0085</v>
      </c>
      <c r="D391" s="52" t="s">
        <v>921</v>
      </c>
      <c r="E391" s="53" t="s">
        <v>35</v>
      </c>
      <c r="F391" s="34" t="str">
        <f t="shared" si="13"/>
        <v>#REF!</v>
      </c>
      <c r="G391" s="34" t="str">
        <f t="shared" si="14"/>
        <v>#REF!</v>
      </c>
      <c r="H391" s="54" t="s">
        <v>21</v>
      </c>
      <c r="I391" s="81"/>
      <c r="J391" s="54"/>
      <c r="K391" s="42"/>
      <c r="L391" s="42"/>
      <c r="M391" s="38" t="e">
        <v>#N/A</v>
      </c>
      <c r="N391" s="42"/>
      <c r="O391" s="42"/>
      <c r="P391" s="43"/>
    </row>
    <row r="392">
      <c r="A392" s="33">
        <v>1078.0</v>
      </c>
      <c r="B392" s="34">
        <v>1078.0</v>
      </c>
      <c r="C392" s="34">
        <f>IFERROR(__xludf.DUMMYFUNCTION("if(B392&lt;=999,if(B392&lt;=99,IF(B392&lt;=9,join(,""000"",B392),join(,""00"",B392)),join(,""0"",B392)),B392)"),1078.0)</f>
        <v>1078</v>
      </c>
      <c r="D392" s="35" t="s">
        <v>922</v>
      </c>
      <c r="E392" s="34" t="s">
        <v>20</v>
      </c>
      <c r="F392" s="34" t="str">
        <f t="shared" si="13"/>
        <v>#REF!</v>
      </c>
      <c r="G392" s="34" t="str">
        <f t="shared" si="14"/>
        <v>#REF!</v>
      </c>
      <c r="H392" s="36" t="s">
        <v>21</v>
      </c>
      <c r="I392" s="37" t="s">
        <v>63</v>
      </c>
      <c r="J392" s="36" t="s">
        <v>20</v>
      </c>
      <c r="K392" s="38" t="s">
        <v>923</v>
      </c>
      <c r="L392" s="38" t="s">
        <v>924</v>
      </c>
      <c r="M392" s="38" t="s">
        <v>925</v>
      </c>
      <c r="N392" s="38" t="s">
        <v>25</v>
      </c>
      <c r="O392" s="38" t="s">
        <v>55</v>
      </c>
      <c r="P392" s="39"/>
    </row>
    <row r="393">
      <c r="A393" s="51">
        <v>1171.0</v>
      </c>
      <c r="B393" s="51">
        <v>1171.0</v>
      </c>
      <c r="C393" s="34">
        <f>IFERROR(__xludf.DUMMYFUNCTION("if(B393&lt;=999,if(B393&lt;=99,IF(B393&lt;=9,join(,""000"",B393),join(,""00"",B393)),join(,""0"",B393)),B393)"),1171.0)</f>
        <v>1171</v>
      </c>
      <c r="D393" s="52" t="s">
        <v>926</v>
      </c>
      <c r="E393" s="53" t="s">
        <v>20</v>
      </c>
      <c r="F393" s="34" t="str">
        <f t="shared" si="13"/>
        <v>#REF!</v>
      </c>
      <c r="G393" s="34" t="str">
        <f t="shared" si="14"/>
        <v>#REF!</v>
      </c>
      <c r="H393" s="54" t="s">
        <v>21</v>
      </c>
      <c r="I393" s="37" t="s">
        <v>34</v>
      </c>
      <c r="J393" s="54" t="s">
        <v>35</v>
      </c>
      <c r="K393" s="42"/>
      <c r="L393" s="42"/>
      <c r="M393" s="38" t="s">
        <v>244</v>
      </c>
      <c r="N393" s="42"/>
      <c r="O393" s="42"/>
      <c r="P393" s="43" t="s">
        <v>927</v>
      </c>
    </row>
    <row r="394">
      <c r="A394" s="51">
        <v>646.0</v>
      </c>
      <c r="B394" s="51">
        <v>646.0</v>
      </c>
      <c r="C394" s="34" t="str">
        <f>IFERROR(__xludf.DUMMYFUNCTION("if(B394&lt;=999,if(B394&lt;=99,IF(B394&lt;=9,join(,""000"",B394),join(,""00"",B394)),join(,""0"",B394)),B394)"),"0646")</f>
        <v>0646</v>
      </c>
      <c r="D394" s="52" t="s">
        <v>928</v>
      </c>
      <c r="E394" s="53" t="s">
        <v>20</v>
      </c>
      <c r="F394" s="34" t="str">
        <f t="shared" si="13"/>
        <v>#REF!</v>
      </c>
      <c r="G394" s="34" t="str">
        <f t="shared" si="14"/>
        <v>#REF!</v>
      </c>
      <c r="H394" s="54" t="s">
        <v>21</v>
      </c>
      <c r="I394" s="37" t="s">
        <v>22</v>
      </c>
      <c r="J394" s="54" t="s">
        <v>35</v>
      </c>
      <c r="K394" s="42"/>
      <c r="L394" s="42"/>
      <c r="M394" s="38" t="e">
        <v>#N/A</v>
      </c>
      <c r="N394" s="42"/>
      <c r="O394" s="42"/>
      <c r="P394" s="43" t="s">
        <v>601</v>
      </c>
    </row>
    <row r="395">
      <c r="A395" s="33">
        <v>72.0</v>
      </c>
      <c r="B395" s="34">
        <v>72.0</v>
      </c>
      <c r="C395" s="34" t="str">
        <f>IFERROR(__xludf.DUMMYFUNCTION("if(B395&lt;=999,if(B395&lt;=99,IF(B395&lt;=9,join(,""000"",B395),join(,""00"",B395)),join(,""0"",B395)),B395)"),"0072")</f>
        <v>0072</v>
      </c>
      <c r="D395" s="35" t="s">
        <v>929</v>
      </c>
      <c r="E395" s="34" t="s">
        <v>20</v>
      </c>
      <c r="F395" s="34" t="str">
        <f t="shared" si="13"/>
        <v>#REF!</v>
      </c>
      <c r="G395" s="34" t="str">
        <f t="shared" si="14"/>
        <v>#REF!</v>
      </c>
      <c r="H395" s="36" t="s">
        <v>21</v>
      </c>
      <c r="I395" s="37" t="s">
        <v>99</v>
      </c>
      <c r="J395" s="36" t="s">
        <v>35</v>
      </c>
      <c r="K395" s="38"/>
      <c r="L395" s="42"/>
      <c r="M395" s="38" t="e">
        <v>#N/A</v>
      </c>
      <c r="N395" s="38"/>
      <c r="O395" s="38"/>
      <c r="P395" s="39" t="s">
        <v>43</v>
      </c>
    </row>
    <row r="396">
      <c r="A396" s="51">
        <v>65.0</v>
      </c>
      <c r="B396" s="51">
        <v>65.0</v>
      </c>
      <c r="C396" s="34" t="str">
        <f>IFERROR(__xludf.DUMMYFUNCTION("if(B396&lt;=999,if(B396&lt;=99,IF(B396&lt;=9,join(,""000"",B396),join(,""00"",B396)),join(,""0"",B396)),B396)"),"0065")</f>
        <v>0065</v>
      </c>
      <c r="D396" s="52" t="s">
        <v>930</v>
      </c>
      <c r="E396" s="53" t="s">
        <v>35</v>
      </c>
      <c r="F396" s="34" t="str">
        <f t="shared" si="13"/>
        <v>#REF!</v>
      </c>
      <c r="G396" s="34" t="str">
        <f t="shared" si="14"/>
        <v>#REF!</v>
      </c>
      <c r="H396" s="54" t="s">
        <v>21</v>
      </c>
      <c r="I396" s="81"/>
      <c r="J396" s="54"/>
      <c r="K396" s="42"/>
      <c r="L396" s="42"/>
      <c r="M396" s="38" t="e">
        <v>#N/A</v>
      </c>
      <c r="N396" s="42"/>
      <c r="O396" s="42"/>
      <c r="P396" s="43"/>
    </row>
    <row r="397">
      <c r="A397" s="33">
        <v>88.0</v>
      </c>
      <c r="B397" s="34">
        <v>88.0</v>
      </c>
      <c r="C397" s="34" t="str">
        <f>IFERROR(__xludf.DUMMYFUNCTION("if(B397&lt;=999,if(B397&lt;=99,IF(B397&lt;=9,join(,""000"",B397),join(,""00"",B397)),join(,""0"",B397)),B397)"),"0088")</f>
        <v>0088</v>
      </c>
      <c r="D397" s="35" t="s">
        <v>931</v>
      </c>
      <c r="E397" s="34" t="s">
        <v>35</v>
      </c>
      <c r="F397" s="34" t="str">
        <f t="shared" si="13"/>
        <v>#REF!</v>
      </c>
      <c r="G397" s="34" t="str">
        <f t="shared" si="14"/>
        <v>#REF!</v>
      </c>
      <c r="H397" s="36" t="s">
        <v>21</v>
      </c>
      <c r="I397" s="37"/>
      <c r="J397" s="36"/>
      <c r="K397" s="38"/>
      <c r="L397" s="42"/>
      <c r="M397" s="38" t="e">
        <v>#N/A</v>
      </c>
      <c r="N397" s="38"/>
      <c r="O397" s="38"/>
      <c r="P397" s="39"/>
    </row>
    <row r="398">
      <c r="A398" s="51">
        <v>632.0</v>
      </c>
      <c r="B398" s="51">
        <v>632.0</v>
      </c>
      <c r="C398" s="34" t="str">
        <f>IFERROR(__xludf.DUMMYFUNCTION("if(B398&lt;=999,if(B398&lt;=99,IF(B398&lt;=9,join(,""000"",B398),join(,""00"",B398)),join(,""0"",B398)),B398)"),"0632")</f>
        <v>0632</v>
      </c>
      <c r="D398" s="52" t="s">
        <v>932</v>
      </c>
      <c r="E398" s="53" t="s">
        <v>20</v>
      </c>
      <c r="F398" s="34" t="str">
        <f t="shared" si="13"/>
        <v>#REF!</v>
      </c>
      <c r="G398" s="34" t="str">
        <f t="shared" si="14"/>
        <v>#REF!</v>
      </c>
      <c r="H398" s="54" t="s">
        <v>21</v>
      </c>
      <c r="I398" s="81" t="s">
        <v>99</v>
      </c>
      <c r="J398" s="54" t="s">
        <v>20</v>
      </c>
      <c r="K398" s="42"/>
      <c r="L398" s="42"/>
      <c r="M398" s="38" t="s">
        <v>244</v>
      </c>
      <c r="N398" s="42"/>
      <c r="O398" s="42"/>
      <c r="P398" s="43" t="s">
        <v>933</v>
      </c>
    </row>
    <row r="399">
      <c r="A399" s="51">
        <v>800.0</v>
      </c>
      <c r="B399" s="51">
        <v>800.0</v>
      </c>
      <c r="C399" s="34" t="str">
        <f>IFERROR(__xludf.DUMMYFUNCTION("if(B399&lt;=999,if(B399&lt;=99,IF(B399&lt;=9,join(,""000"",B399),join(,""00"",B399)),join(,""0"",B399)),B399)"),"0800")</f>
        <v>0800</v>
      </c>
      <c r="D399" s="52" t="s">
        <v>934</v>
      </c>
      <c r="E399" s="53" t="s">
        <v>20</v>
      </c>
      <c r="F399" s="34" t="str">
        <f t="shared" si="13"/>
        <v>#REF!</v>
      </c>
      <c r="G399" s="34" t="str">
        <f t="shared" si="14"/>
        <v>#REF!</v>
      </c>
      <c r="H399" s="54" t="s">
        <v>21</v>
      </c>
      <c r="I399" s="37" t="s">
        <v>77</v>
      </c>
      <c r="J399" s="54" t="s">
        <v>20</v>
      </c>
      <c r="K399" s="42" t="s">
        <v>23</v>
      </c>
      <c r="L399" s="42" t="s">
        <v>935</v>
      </c>
      <c r="M399" s="38">
        <v>80.0</v>
      </c>
      <c r="N399" s="42" t="s">
        <v>25</v>
      </c>
      <c r="O399" s="42" t="s">
        <v>694</v>
      </c>
      <c r="P399" s="43"/>
    </row>
    <row r="400">
      <c r="A400" s="55">
        <v>619.0</v>
      </c>
      <c r="B400" s="55">
        <v>619.0</v>
      </c>
      <c r="C400" s="45" t="str">
        <f>IFERROR(__xludf.DUMMYFUNCTION("if(B400&lt;=999,if(B400&lt;=99,IF(B400&lt;=9,join(,""000"",B400),join(,""00"",B400)),join(,""0"",B400)),B400)"),"0619")</f>
        <v>0619</v>
      </c>
      <c r="D400" s="56" t="s">
        <v>936</v>
      </c>
      <c r="E400" s="55" t="s">
        <v>20</v>
      </c>
      <c r="F400" s="45" t="str">
        <f t="shared" si="13"/>
        <v>#REF!</v>
      </c>
      <c r="G400" s="45" t="str">
        <f t="shared" si="14"/>
        <v>#REF!</v>
      </c>
      <c r="H400" s="57" t="s">
        <v>21</v>
      </c>
      <c r="I400" s="48" t="s">
        <v>34</v>
      </c>
      <c r="J400" s="57" t="s">
        <v>35</v>
      </c>
      <c r="K400" s="60"/>
      <c r="L400" s="60" t="s">
        <v>937</v>
      </c>
      <c r="M400" s="49">
        <v>80.0</v>
      </c>
      <c r="N400" s="60" t="s">
        <v>25</v>
      </c>
      <c r="O400" s="60" t="s">
        <v>55</v>
      </c>
      <c r="P400" s="61" t="s">
        <v>370</v>
      </c>
    </row>
    <row r="401">
      <c r="A401" s="51">
        <v>325.0</v>
      </c>
      <c r="B401" s="51">
        <v>325.0</v>
      </c>
      <c r="C401" s="34" t="str">
        <f>IFERROR(__xludf.DUMMYFUNCTION("if(B401&lt;=999,if(B401&lt;=99,IF(B401&lt;=9,join(,""000"",B401),join(,""00"",B401)),join(,""0"",B401)),B401)"),"0325")</f>
        <v>0325</v>
      </c>
      <c r="D401" s="52" t="s">
        <v>938</v>
      </c>
      <c r="E401" s="53" t="s">
        <v>35</v>
      </c>
      <c r="F401" s="34" t="str">
        <f t="shared" si="13"/>
        <v>#REF!</v>
      </c>
      <c r="G401" s="34" t="str">
        <f t="shared" si="14"/>
        <v>#REF!</v>
      </c>
      <c r="H401" s="54" t="s">
        <v>21</v>
      </c>
      <c r="I401" s="81"/>
      <c r="J401" s="54"/>
      <c r="K401" s="42"/>
      <c r="L401" s="42"/>
      <c r="M401" s="38" t="e">
        <v>#N/A</v>
      </c>
      <c r="N401" s="42"/>
      <c r="O401" s="42"/>
      <c r="P401" s="43"/>
    </row>
    <row r="402">
      <c r="A402" s="51">
        <v>639.0</v>
      </c>
      <c r="B402" s="51">
        <v>639.0</v>
      </c>
      <c r="C402" s="34" t="str">
        <f>IFERROR(__xludf.DUMMYFUNCTION("if(B402&lt;=999,if(B402&lt;=99,IF(B402&lt;=9,join(,""000"",B402),join(,""00"",B402)),join(,""0"",B402)),B402)"),"0639")</f>
        <v>0639</v>
      </c>
      <c r="D402" s="52" t="s">
        <v>939</v>
      </c>
      <c r="E402" s="53" t="s">
        <v>20</v>
      </c>
      <c r="F402" s="34" t="str">
        <f t="shared" si="13"/>
        <v>#REF!</v>
      </c>
      <c r="G402" s="34" t="str">
        <f t="shared" si="14"/>
        <v>#REF!</v>
      </c>
      <c r="H402" s="54" t="s">
        <v>21</v>
      </c>
      <c r="I402" s="81" t="s">
        <v>99</v>
      </c>
      <c r="J402" s="54" t="s">
        <v>20</v>
      </c>
      <c r="K402" s="42" t="s">
        <v>940</v>
      </c>
      <c r="L402" s="42" t="s">
        <v>941</v>
      </c>
      <c r="M402" s="38">
        <v>25001.0</v>
      </c>
      <c r="N402" s="42" t="s">
        <v>25</v>
      </c>
      <c r="O402" s="42" t="s">
        <v>55</v>
      </c>
      <c r="P402" s="43" t="s">
        <v>82</v>
      </c>
    </row>
    <row r="403">
      <c r="A403" s="45">
        <v>830.0</v>
      </c>
      <c r="B403" s="45">
        <v>830.0</v>
      </c>
      <c r="C403" s="45" t="str">
        <f>IFERROR(__xludf.DUMMYFUNCTION("if(B403&lt;=999,if(B403&lt;=99,IF(B403&lt;=9,join(,""000"",B403),join(,""00"",B403)),join(,""0"",B403)),B403)"),"0830")</f>
        <v>0830</v>
      </c>
      <c r="D403" s="46" t="s">
        <v>942</v>
      </c>
      <c r="E403" s="45" t="s">
        <v>20</v>
      </c>
      <c r="F403" s="45" t="str">
        <f t="shared" si="13"/>
        <v>#REF!</v>
      </c>
      <c r="G403" s="45" t="str">
        <f t="shared" si="14"/>
        <v>#REF!</v>
      </c>
      <c r="H403" s="47" t="s">
        <v>21</v>
      </c>
      <c r="I403" s="48" t="s">
        <v>22</v>
      </c>
      <c r="J403" s="47" t="s">
        <v>35</v>
      </c>
      <c r="K403" s="49" t="s">
        <v>624</v>
      </c>
      <c r="L403" s="49" t="s">
        <v>943</v>
      </c>
      <c r="M403" s="49" t="s">
        <v>944</v>
      </c>
      <c r="N403" s="49" t="s">
        <v>945</v>
      </c>
      <c r="O403" s="49" t="s">
        <v>55</v>
      </c>
      <c r="P403" s="50" t="s">
        <v>946</v>
      </c>
    </row>
    <row r="404">
      <c r="A404" s="90">
        <v>1267.0</v>
      </c>
      <c r="B404" s="51">
        <v>1267.0</v>
      </c>
      <c r="C404" s="34">
        <f>IFERROR(__xludf.DUMMYFUNCTION("if(B404&lt;=999,if(B404&lt;=99,IF(B404&lt;=9,join(,""000"",B404),join(,""00"",B404)),join(,""0"",B404)),B404)"),1267.0)</f>
        <v>1267</v>
      </c>
      <c r="D404" s="52" t="s">
        <v>947</v>
      </c>
      <c r="E404" s="53" t="s">
        <v>20</v>
      </c>
      <c r="F404" s="34" t="str">
        <f t="shared" si="13"/>
        <v>#REF!</v>
      </c>
      <c r="G404" s="34" t="str">
        <f t="shared" si="14"/>
        <v>#REF!</v>
      </c>
      <c r="H404" s="54" t="s">
        <v>21</v>
      </c>
      <c r="I404" s="37" t="s">
        <v>77</v>
      </c>
      <c r="J404" s="54" t="s">
        <v>20</v>
      </c>
      <c r="K404" s="42" t="s">
        <v>948</v>
      </c>
      <c r="L404" s="42" t="s">
        <v>949</v>
      </c>
      <c r="M404" s="38" t="s">
        <v>950</v>
      </c>
      <c r="N404" s="42" t="s">
        <v>25</v>
      </c>
      <c r="O404" s="42" t="s">
        <v>55</v>
      </c>
      <c r="P404" s="43" t="s">
        <v>82</v>
      </c>
    </row>
    <row r="405">
      <c r="A405" s="51">
        <v>522.0</v>
      </c>
      <c r="B405" s="51">
        <v>522.0</v>
      </c>
      <c r="C405" s="34" t="str">
        <f>IFERROR(__xludf.DUMMYFUNCTION("if(B405&lt;=999,if(B405&lt;=99,IF(B405&lt;=9,join(,""000"",B405),join(,""00"",B405)),join(,""0"",B405)),B405)"),"0522")</f>
        <v>0522</v>
      </c>
      <c r="D405" s="52" t="s">
        <v>951</v>
      </c>
      <c r="E405" s="53" t="s">
        <v>20</v>
      </c>
      <c r="F405" s="34" t="str">
        <f t="shared" si="13"/>
        <v>#REF!</v>
      </c>
      <c r="G405" s="34" t="str">
        <f t="shared" si="14"/>
        <v>#REF!</v>
      </c>
      <c r="H405" s="54" t="s">
        <v>21</v>
      </c>
      <c r="I405" s="37" t="s">
        <v>77</v>
      </c>
      <c r="J405" s="54" t="s">
        <v>20</v>
      </c>
      <c r="K405" s="42" t="s">
        <v>948</v>
      </c>
      <c r="L405" s="42" t="s">
        <v>949</v>
      </c>
      <c r="M405" s="38">
        <v>80.0</v>
      </c>
      <c r="N405" s="42" t="s">
        <v>25</v>
      </c>
      <c r="O405" s="42" t="s">
        <v>55</v>
      </c>
      <c r="P405" s="43"/>
    </row>
    <row r="406">
      <c r="A406" s="51">
        <v>951.0</v>
      </c>
      <c r="B406" s="51">
        <v>951.0</v>
      </c>
      <c r="C406" s="34" t="str">
        <f>IFERROR(__xludf.DUMMYFUNCTION("if(B406&lt;=999,if(B406&lt;=99,IF(B406&lt;=9,join(,""000"",B406),join(,""00"",B406)),join(,""0"",B406)),B406)"),"0951")</f>
        <v>0951</v>
      </c>
      <c r="D406" s="52" t="s">
        <v>952</v>
      </c>
      <c r="E406" s="53" t="s">
        <v>20</v>
      </c>
      <c r="F406" s="34" t="str">
        <f t="shared" si="13"/>
        <v>#REF!</v>
      </c>
      <c r="G406" s="34" t="str">
        <f t="shared" si="14"/>
        <v>#REF!</v>
      </c>
      <c r="H406" s="54" t="s">
        <v>21</v>
      </c>
      <c r="I406" s="81" t="s">
        <v>99</v>
      </c>
      <c r="J406" s="54" t="s">
        <v>20</v>
      </c>
      <c r="K406" s="42" t="s">
        <v>818</v>
      </c>
      <c r="L406" s="42" t="s">
        <v>953</v>
      </c>
      <c r="M406" s="38">
        <v>80.0</v>
      </c>
      <c r="N406" s="42" t="s">
        <v>25</v>
      </c>
      <c r="O406" s="42" t="s">
        <v>86</v>
      </c>
      <c r="P406" s="43" t="s">
        <v>946</v>
      </c>
    </row>
    <row r="407">
      <c r="A407" s="55">
        <v>468.0</v>
      </c>
      <c r="B407" s="55">
        <v>468.0</v>
      </c>
      <c r="C407" s="45" t="str">
        <f>IFERROR(__xludf.DUMMYFUNCTION("if(B407&lt;=999,if(B407&lt;=99,IF(B407&lt;=9,join(,""000"",B407),join(,""00"",B407)),join(,""0"",B407)),B407)"),"0468")</f>
        <v>0468</v>
      </c>
      <c r="D407" s="56" t="s">
        <v>954</v>
      </c>
      <c r="E407" s="55" t="s">
        <v>20</v>
      </c>
      <c r="F407" s="45" t="str">
        <f t="shared" si="13"/>
        <v>#REF!</v>
      </c>
      <c r="G407" s="45" t="str">
        <f t="shared" si="14"/>
        <v>#REF!</v>
      </c>
      <c r="H407" s="57" t="s">
        <v>21</v>
      </c>
      <c r="I407" s="48" t="s">
        <v>77</v>
      </c>
      <c r="J407" s="57" t="s">
        <v>35</v>
      </c>
      <c r="K407" s="60"/>
      <c r="L407" s="60" t="s">
        <v>955</v>
      </c>
      <c r="M407" s="49">
        <v>16.0</v>
      </c>
      <c r="N407" s="60" t="s">
        <v>25</v>
      </c>
      <c r="O407" s="60" t="s">
        <v>55</v>
      </c>
      <c r="P407" s="61" t="s">
        <v>66</v>
      </c>
    </row>
    <row r="408">
      <c r="A408" s="51">
        <v>1070.0</v>
      </c>
      <c r="B408" s="51">
        <v>1070.0</v>
      </c>
      <c r="C408" s="34">
        <f>IFERROR(__xludf.DUMMYFUNCTION("if(B408&lt;=999,if(B408&lt;=99,IF(B408&lt;=9,join(,""000"",B408),join(,""00"",B408)),join(,""0"",B408)),B408)"),1070.0)</f>
        <v>1070</v>
      </c>
      <c r="D408" s="52" t="s">
        <v>956</v>
      </c>
      <c r="E408" s="53" t="s">
        <v>20</v>
      </c>
      <c r="F408" s="34" t="str">
        <f t="shared" si="13"/>
        <v>#REF!</v>
      </c>
      <c r="G408" s="34" t="str">
        <f t="shared" si="14"/>
        <v>#REF!</v>
      </c>
      <c r="H408" s="54" t="s">
        <v>21</v>
      </c>
      <c r="I408" s="81" t="s">
        <v>77</v>
      </c>
      <c r="J408" s="54" t="s">
        <v>35</v>
      </c>
      <c r="K408" s="42"/>
      <c r="L408" s="42"/>
      <c r="M408" s="38">
        <v>2.0</v>
      </c>
      <c r="N408" s="42"/>
      <c r="O408" s="42"/>
      <c r="P408" s="43" t="s">
        <v>154</v>
      </c>
    </row>
    <row r="409">
      <c r="A409" s="51">
        <v>1258.0</v>
      </c>
      <c r="B409" s="51">
        <v>1258.0</v>
      </c>
      <c r="C409" s="34">
        <f>IFERROR(__xludf.DUMMYFUNCTION("if(B409&lt;=999,if(B409&lt;=99,IF(B409&lt;=9,join(,""000"",B409),join(,""00"",B409)),join(,""0"",B409)),B409)"),1258.0)</f>
        <v>1258</v>
      </c>
      <c r="D409" s="52" t="s">
        <v>957</v>
      </c>
      <c r="E409" s="53" t="s">
        <v>20</v>
      </c>
      <c r="F409" s="34" t="str">
        <f t="shared" si="13"/>
        <v>#REF!</v>
      </c>
      <c r="G409" s="34" t="str">
        <f t="shared" si="14"/>
        <v>#REF!</v>
      </c>
      <c r="H409" s="54" t="s">
        <v>21</v>
      </c>
      <c r="I409" s="37" t="s">
        <v>73</v>
      </c>
      <c r="J409" s="54" t="s">
        <v>20</v>
      </c>
      <c r="K409" s="42" t="s">
        <v>559</v>
      </c>
      <c r="L409" s="42" t="s">
        <v>958</v>
      </c>
      <c r="M409" s="38">
        <v>32.0</v>
      </c>
      <c r="N409" s="42" t="s">
        <v>25</v>
      </c>
      <c r="O409" s="42" t="s">
        <v>959</v>
      </c>
      <c r="P409" s="43" t="s">
        <v>97</v>
      </c>
    </row>
    <row r="410">
      <c r="A410" s="33">
        <v>1190.0</v>
      </c>
      <c r="B410" s="34">
        <v>1190.0</v>
      </c>
      <c r="C410" s="34">
        <f>IFERROR(__xludf.DUMMYFUNCTION("if(B410&lt;=999,if(B410&lt;=99,IF(B410&lt;=9,join(,""000"",B410),join(,""00"",B410)),join(,""0"",B410)),B410)"),1190.0)</f>
        <v>1190</v>
      </c>
      <c r="D410" s="35" t="s">
        <v>960</v>
      </c>
      <c r="E410" s="53" t="s">
        <v>20</v>
      </c>
      <c r="F410" s="34" t="str">
        <f t="shared" si="13"/>
        <v>#REF!</v>
      </c>
      <c r="G410" s="34" t="str">
        <f t="shared" si="14"/>
        <v>#REF!</v>
      </c>
      <c r="H410" s="36" t="s">
        <v>21</v>
      </c>
      <c r="I410" s="37" t="s">
        <v>73</v>
      </c>
      <c r="J410" s="36" t="s">
        <v>20</v>
      </c>
      <c r="K410" s="42" t="s">
        <v>559</v>
      </c>
      <c r="L410" s="42" t="s">
        <v>958</v>
      </c>
      <c r="M410" s="38">
        <v>32.0</v>
      </c>
      <c r="N410" s="42" t="s">
        <v>25</v>
      </c>
      <c r="O410" s="42" t="s">
        <v>959</v>
      </c>
      <c r="P410" s="43" t="s">
        <v>97</v>
      </c>
    </row>
    <row r="411">
      <c r="A411" s="51">
        <v>1191.0</v>
      </c>
      <c r="B411" s="51">
        <v>1191.0</v>
      </c>
      <c r="C411" s="34">
        <f>IFERROR(__xludf.DUMMYFUNCTION("if(B411&lt;=999,if(B411&lt;=99,IF(B411&lt;=9,join(,""000"",B411),join(,""00"",B411)),join(,""0"",B411)),B411)"),1191.0)</f>
        <v>1191</v>
      </c>
      <c r="D411" s="52" t="s">
        <v>961</v>
      </c>
      <c r="E411" s="53" t="s">
        <v>20</v>
      </c>
      <c r="F411" s="34" t="str">
        <f t="shared" si="13"/>
        <v>#REF!</v>
      </c>
      <c r="G411" s="34" t="str">
        <f t="shared" si="14"/>
        <v>#REF!</v>
      </c>
      <c r="H411" s="54" t="s">
        <v>21</v>
      </c>
      <c r="I411" s="37" t="s">
        <v>77</v>
      </c>
      <c r="J411" s="54" t="s">
        <v>20</v>
      </c>
      <c r="K411" s="42" t="s">
        <v>559</v>
      </c>
      <c r="L411" s="42" t="s">
        <v>958</v>
      </c>
      <c r="M411" s="38">
        <v>32.0</v>
      </c>
      <c r="N411" s="42" t="s">
        <v>25</v>
      </c>
      <c r="O411" s="42" t="s">
        <v>959</v>
      </c>
      <c r="P411" s="43" t="s">
        <v>97</v>
      </c>
    </row>
    <row r="412">
      <c r="A412" s="51">
        <v>1262.0</v>
      </c>
      <c r="B412" s="51">
        <v>1262.0</v>
      </c>
      <c r="C412" s="34">
        <f>IFERROR(__xludf.DUMMYFUNCTION("if(B412&lt;=999,if(B412&lt;=99,IF(B412&lt;=9,join(,""000"",B412),join(,""00"",B412)),join(,""0"",B412)),B412)"),1262.0)</f>
        <v>1262</v>
      </c>
      <c r="D412" s="52" t="s">
        <v>962</v>
      </c>
      <c r="E412" s="53" t="s">
        <v>35</v>
      </c>
      <c r="F412" s="34" t="str">
        <f t="shared" si="13"/>
        <v>#REF!</v>
      </c>
      <c r="G412" s="34" t="str">
        <f t="shared" si="14"/>
        <v>#REF!</v>
      </c>
      <c r="H412" s="54" t="s">
        <v>21</v>
      </c>
      <c r="I412" s="81"/>
      <c r="J412" s="54"/>
      <c r="K412" s="42"/>
      <c r="L412" s="42"/>
      <c r="M412" s="38" t="e">
        <v>#N/A</v>
      </c>
      <c r="N412" s="42"/>
      <c r="O412" s="42"/>
      <c r="P412" s="43"/>
    </row>
    <row r="413">
      <c r="A413" s="51">
        <v>1048.0</v>
      </c>
      <c r="B413" s="51">
        <v>1048.0</v>
      </c>
      <c r="C413" s="34">
        <f>IFERROR(__xludf.DUMMYFUNCTION("if(B413&lt;=999,if(B413&lt;=99,IF(B413&lt;=9,join(,""000"",B413),join(,""00"",B413)),join(,""0"",B413)),B413)"),1048.0)</f>
        <v>1048</v>
      </c>
      <c r="D413" s="52" t="s">
        <v>963</v>
      </c>
      <c r="E413" s="53" t="s">
        <v>20</v>
      </c>
      <c r="F413" s="34" t="str">
        <f t="shared" si="13"/>
        <v>#REF!</v>
      </c>
      <c r="G413" s="34" t="str">
        <f t="shared" si="14"/>
        <v>#REF!</v>
      </c>
      <c r="H413" s="54" t="s">
        <v>21</v>
      </c>
      <c r="I413" s="81" t="s">
        <v>63</v>
      </c>
      <c r="J413" s="54" t="s">
        <v>20</v>
      </c>
      <c r="K413" s="42" t="s">
        <v>23</v>
      </c>
      <c r="L413" s="42" t="s">
        <v>964</v>
      </c>
      <c r="M413" s="38" t="e">
        <v>#N/A</v>
      </c>
      <c r="N413" s="42" t="s">
        <v>25</v>
      </c>
      <c r="O413" s="42" t="s">
        <v>965</v>
      </c>
      <c r="P413" s="43" t="s">
        <v>966</v>
      </c>
    </row>
    <row r="414">
      <c r="A414" s="51">
        <v>21.0</v>
      </c>
      <c r="B414" s="51">
        <v>21.0</v>
      </c>
      <c r="C414" s="34" t="str">
        <f>IFERROR(__xludf.DUMMYFUNCTION("if(B414&lt;=999,if(B414&lt;=99,IF(B414&lt;=9,join(,""000"",B414),join(,""00"",B414)),join(,""0"",B414)),B414)"),"0021")</f>
        <v>0021</v>
      </c>
      <c r="D414" s="52" t="s">
        <v>967</v>
      </c>
      <c r="E414" s="53" t="s">
        <v>20</v>
      </c>
      <c r="F414" s="34" t="str">
        <f t="shared" si="13"/>
        <v>#REF!</v>
      </c>
      <c r="G414" s="34" t="str">
        <f t="shared" si="14"/>
        <v>#REF!</v>
      </c>
      <c r="H414" s="54" t="s">
        <v>21</v>
      </c>
      <c r="I414" s="37" t="s">
        <v>77</v>
      </c>
      <c r="J414" s="54" t="s">
        <v>35</v>
      </c>
      <c r="K414" s="42"/>
      <c r="L414" s="42"/>
      <c r="M414" s="38">
        <v>8000.0</v>
      </c>
      <c r="N414" s="42"/>
      <c r="O414" s="42"/>
      <c r="P414" s="43" t="s">
        <v>968</v>
      </c>
    </row>
    <row r="415">
      <c r="A415" s="51">
        <v>1293.0</v>
      </c>
      <c r="B415" s="51">
        <v>1293.0</v>
      </c>
      <c r="C415" s="34">
        <f>IFERROR(__xludf.DUMMYFUNCTION("if(B415&lt;=999,if(B415&lt;=99,IF(B415&lt;=9,join(,""000"",B415),join(,""00"",B415)),join(,""0"",B415)),B415)"),1293.0)</f>
        <v>1293</v>
      </c>
      <c r="D415" s="52" t="s">
        <v>969</v>
      </c>
      <c r="E415" s="53" t="s">
        <v>20</v>
      </c>
      <c r="F415" s="34" t="str">
        <f t="shared" si="13"/>
        <v>#REF!</v>
      </c>
      <c r="G415" s="34" t="str">
        <f t="shared" si="14"/>
        <v>#REF!</v>
      </c>
      <c r="H415" s="54" t="s">
        <v>21</v>
      </c>
      <c r="I415" s="81" t="s">
        <v>34</v>
      </c>
      <c r="J415" s="54" t="s">
        <v>35</v>
      </c>
      <c r="K415" s="42"/>
      <c r="L415" s="42"/>
      <c r="M415" s="38">
        <v>24.0</v>
      </c>
      <c r="N415" s="42"/>
      <c r="O415" s="42"/>
      <c r="P415" s="43" t="s">
        <v>43</v>
      </c>
    </row>
    <row r="416">
      <c r="A416" s="55">
        <v>1305.0</v>
      </c>
      <c r="B416" s="55">
        <v>1305.0</v>
      </c>
      <c r="C416" s="45">
        <f>IFERROR(__xludf.DUMMYFUNCTION("if(B416&lt;=999,if(B416&lt;=99,IF(B416&lt;=9,join(,""000"",B416),join(,""00"",B416)),join(,""0"",B416)),B416)"),1305.0)</f>
        <v>1305</v>
      </c>
      <c r="D416" s="56" t="s">
        <v>970</v>
      </c>
      <c r="E416" s="55" t="s">
        <v>20</v>
      </c>
      <c r="F416" s="45" t="str">
        <f t="shared" si="13"/>
        <v>#REF!</v>
      </c>
      <c r="G416" s="45" t="str">
        <f t="shared" si="14"/>
        <v>#REF!</v>
      </c>
      <c r="H416" s="57" t="s">
        <v>21</v>
      </c>
      <c r="I416" s="48" t="s">
        <v>77</v>
      </c>
      <c r="J416" s="57" t="s">
        <v>35</v>
      </c>
      <c r="K416" s="60"/>
      <c r="L416" s="60" t="s">
        <v>971</v>
      </c>
      <c r="M416" s="49">
        <v>80.0</v>
      </c>
      <c r="N416" s="60" t="s">
        <v>104</v>
      </c>
      <c r="O416" s="60" t="s">
        <v>972</v>
      </c>
      <c r="P416" s="61" t="s">
        <v>66</v>
      </c>
    </row>
    <row r="417">
      <c r="A417" s="51">
        <v>1253.0</v>
      </c>
      <c r="B417" s="51">
        <v>1253.0</v>
      </c>
      <c r="C417" s="34">
        <f>IFERROR(__xludf.DUMMYFUNCTION("if(B417&lt;=999,if(B417&lt;=99,IF(B417&lt;=9,join(,""000"",B417),join(,""00"",B417)),join(,""0"",B417)),B417)"),1253.0)</f>
        <v>1253</v>
      </c>
      <c r="D417" s="52" t="s">
        <v>973</v>
      </c>
      <c r="E417" s="53" t="s">
        <v>20</v>
      </c>
      <c r="F417" s="34" t="str">
        <f t="shared" si="13"/>
        <v>#REF!</v>
      </c>
      <c r="G417" s="34" t="str">
        <f t="shared" si="14"/>
        <v>#REF!</v>
      </c>
      <c r="H417" s="54" t="s">
        <v>21</v>
      </c>
      <c r="I417" s="37" t="s">
        <v>22</v>
      </c>
      <c r="J417" s="54" t="s">
        <v>20</v>
      </c>
      <c r="K417" s="42" t="s">
        <v>948</v>
      </c>
      <c r="L417" s="42" t="s">
        <v>974</v>
      </c>
      <c r="M417" s="38">
        <v>8000.0</v>
      </c>
      <c r="N417" s="42" t="s">
        <v>25</v>
      </c>
      <c r="O417" s="42" t="s">
        <v>975</v>
      </c>
      <c r="P417" s="43" t="s">
        <v>97</v>
      </c>
    </row>
    <row r="418">
      <c r="A418" s="51">
        <v>1189.0</v>
      </c>
      <c r="B418" s="51">
        <v>1189.0</v>
      </c>
      <c r="C418" s="34">
        <f>IFERROR(__xludf.DUMMYFUNCTION("if(B418&lt;=999,if(B418&lt;=99,IF(B418&lt;=9,join(,""000"",B418),join(,""00"",B418)),join(,""0"",B418)),B418)"),1189.0)</f>
        <v>1189</v>
      </c>
      <c r="D418" s="52" t="s">
        <v>976</v>
      </c>
      <c r="E418" s="53" t="s">
        <v>20</v>
      </c>
      <c r="F418" s="34" t="str">
        <f t="shared" si="13"/>
        <v>#REF!</v>
      </c>
      <c r="G418" s="34" t="str">
        <f t="shared" si="14"/>
        <v>#REF!</v>
      </c>
      <c r="H418" s="54" t="s">
        <v>21</v>
      </c>
      <c r="I418" s="37" t="s">
        <v>22</v>
      </c>
      <c r="J418" s="54" t="s">
        <v>20</v>
      </c>
      <c r="K418" s="42" t="s">
        <v>948</v>
      </c>
      <c r="L418" s="42" t="s">
        <v>974</v>
      </c>
      <c r="M418" s="38">
        <v>8000.0</v>
      </c>
      <c r="N418" s="42" t="s">
        <v>25</v>
      </c>
      <c r="O418" s="42" t="s">
        <v>975</v>
      </c>
      <c r="P418" s="43" t="s">
        <v>97</v>
      </c>
    </row>
    <row r="419">
      <c r="A419" s="45">
        <v>221.0</v>
      </c>
      <c r="B419" s="45">
        <v>221.0</v>
      </c>
      <c r="C419" s="45" t="str">
        <f>IFERROR(__xludf.DUMMYFUNCTION("if(B419&lt;=999,if(B419&lt;=99,IF(B419&lt;=9,join(,""000"",B419),join(,""00"",B419)),join(,""0"",B419)),B419)"),"0221")</f>
        <v>0221</v>
      </c>
      <c r="D419" s="46" t="s">
        <v>977</v>
      </c>
      <c r="E419" s="55" t="s">
        <v>20</v>
      </c>
      <c r="F419" s="45" t="str">
        <f t="shared" si="13"/>
        <v>#REF!</v>
      </c>
      <c r="G419" s="45" t="str">
        <f t="shared" si="14"/>
        <v>#REF!</v>
      </c>
      <c r="H419" s="47" t="s">
        <v>21</v>
      </c>
      <c r="I419" s="48" t="s">
        <v>22</v>
      </c>
      <c r="J419" s="47" t="s">
        <v>35</v>
      </c>
      <c r="K419" s="49" t="s">
        <v>978</v>
      </c>
      <c r="L419" s="49" t="s">
        <v>979</v>
      </c>
      <c r="M419" s="49" t="e">
        <v>#N/A</v>
      </c>
      <c r="N419" s="49" t="s">
        <v>513</v>
      </c>
      <c r="O419" s="49" t="s">
        <v>980</v>
      </c>
      <c r="P419" s="50" t="s">
        <v>981</v>
      </c>
    </row>
    <row r="420">
      <c r="A420" s="33">
        <v>337.0</v>
      </c>
      <c r="B420" s="34">
        <v>337.0</v>
      </c>
      <c r="C420" s="34" t="str">
        <f>IFERROR(__xludf.DUMMYFUNCTION("if(B420&lt;=999,if(B420&lt;=99,IF(B420&lt;=9,join(,""000"",B420),join(,""00"",B420)),join(,""0"",B420)),B420)"),"0337")</f>
        <v>0337</v>
      </c>
      <c r="D420" s="35" t="s">
        <v>982</v>
      </c>
      <c r="E420" s="34" t="s">
        <v>20</v>
      </c>
      <c r="F420" s="34" t="str">
        <f t="shared" si="13"/>
        <v>#REF!</v>
      </c>
      <c r="G420" s="34" t="str">
        <f t="shared" si="14"/>
        <v>#REF!</v>
      </c>
      <c r="H420" s="36" t="s">
        <v>21</v>
      </c>
      <c r="I420" s="37" t="s">
        <v>983</v>
      </c>
      <c r="J420" s="36" t="s">
        <v>35</v>
      </c>
      <c r="K420" s="38"/>
      <c r="L420" s="42"/>
      <c r="M420" s="38">
        <v>8000.0</v>
      </c>
      <c r="N420" s="38"/>
      <c r="O420" s="38"/>
      <c r="P420" s="39" t="s">
        <v>795</v>
      </c>
    </row>
    <row r="421">
      <c r="A421" s="33">
        <v>819.0</v>
      </c>
      <c r="B421" s="34">
        <v>819.0</v>
      </c>
      <c r="C421" s="34" t="str">
        <f>IFERROR(__xludf.DUMMYFUNCTION("if(B421&lt;=999,if(B421&lt;=99,IF(B421&lt;=9,join(,""000"",B421),join(,""00"",B421)),join(,""0"",B421)),B421)"),"0819")</f>
        <v>0819</v>
      </c>
      <c r="D421" s="35" t="s">
        <v>984</v>
      </c>
      <c r="E421" s="53" t="s">
        <v>20</v>
      </c>
      <c r="F421" s="34" t="str">
        <f t="shared" si="13"/>
        <v>#REF!</v>
      </c>
      <c r="G421" s="34" t="str">
        <f t="shared" si="14"/>
        <v>#REF!</v>
      </c>
      <c r="H421" s="36" t="s">
        <v>21</v>
      </c>
      <c r="I421" s="37" t="s">
        <v>101</v>
      </c>
      <c r="J421" s="36" t="s">
        <v>20</v>
      </c>
      <c r="K421" s="42" t="s">
        <v>985</v>
      </c>
      <c r="L421" s="42" t="s">
        <v>986</v>
      </c>
      <c r="M421" s="38" t="e">
        <v>#N/A</v>
      </c>
      <c r="N421" s="42" t="s">
        <v>513</v>
      </c>
      <c r="O421" s="42" t="s">
        <v>987</v>
      </c>
      <c r="P421" s="43" t="s">
        <v>97</v>
      </c>
    </row>
    <row r="422">
      <c r="A422" s="51">
        <v>1050.0</v>
      </c>
      <c r="B422" s="51">
        <v>1050.0</v>
      </c>
      <c r="C422" s="34">
        <f>IFERROR(__xludf.DUMMYFUNCTION("if(B422&lt;=999,if(B422&lt;=99,IF(B422&lt;=9,join(,""000"",B422),join(,""00"",B422)),join(,""0"",B422)),B422)"),1050.0)</f>
        <v>1050</v>
      </c>
      <c r="D422" s="52" t="s">
        <v>988</v>
      </c>
      <c r="E422" s="53" t="s">
        <v>20</v>
      </c>
      <c r="F422" s="34" t="str">
        <f t="shared" si="13"/>
        <v>#REF!</v>
      </c>
      <c r="G422" s="34" t="str">
        <f t="shared" si="14"/>
        <v>#REF!</v>
      </c>
      <c r="H422" s="54" t="s">
        <v>21</v>
      </c>
      <c r="I422" s="37" t="s">
        <v>22</v>
      </c>
      <c r="J422" s="54" t="s">
        <v>35</v>
      </c>
      <c r="K422" s="42"/>
      <c r="L422" s="42"/>
      <c r="M422" s="38">
        <v>16.0</v>
      </c>
      <c r="N422" s="42"/>
      <c r="O422" s="42"/>
      <c r="P422" s="43" t="s">
        <v>43</v>
      </c>
    </row>
    <row r="423">
      <c r="A423" s="51">
        <v>17.0</v>
      </c>
      <c r="B423" s="51">
        <v>17.0</v>
      </c>
      <c r="C423" s="34" t="str">
        <f>IFERROR(__xludf.DUMMYFUNCTION("if(B423&lt;=999,if(B423&lt;=99,IF(B423&lt;=9,join(,""000"",B423),join(,""00"",B423)),join(,""0"",B423)),B423)"),"0017")</f>
        <v>0017</v>
      </c>
      <c r="D423" s="52" t="s">
        <v>989</v>
      </c>
      <c r="E423" s="53" t="s">
        <v>20</v>
      </c>
      <c r="F423" s="34" t="str">
        <f t="shared" si="13"/>
        <v>#REF!</v>
      </c>
      <c r="G423" s="34" t="str">
        <f t="shared" si="14"/>
        <v>#REF!</v>
      </c>
      <c r="H423" s="54" t="s">
        <v>21</v>
      </c>
      <c r="I423" s="37" t="s">
        <v>22</v>
      </c>
      <c r="J423" s="54" t="s">
        <v>35</v>
      </c>
      <c r="K423" s="42"/>
      <c r="L423" s="42"/>
      <c r="M423" s="38">
        <v>8000.0</v>
      </c>
      <c r="N423" s="42"/>
      <c r="O423" s="42"/>
      <c r="P423" s="43" t="s">
        <v>43</v>
      </c>
    </row>
    <row r="424">
      <c r="A424" s="51">
        <v>340.0</v>
      </c>
      <c r="B424" s="51">
        <v>340.0</v>
      </c>
      <c r="C424" s="34" t="str">
        <f>IFERROR(__xludf.DUMMYFUNCTION("if(B424&lt;=999,if(B424&lt;=99,IF(B424&lt;=9,join(,""000"",B424),join(,""00"",B424)),join(,""0"",B424)),B424)"),"0340")</f>
        <v>0340</v>
      </c>
      <c r="D424" s="52" t="s">
        <v>990</v>
      </c>
      <c r="E424" s="53" t="s">
        <v>20</v>
      </c>
      <c r="F424" s="34" t="str">
        <f t="shared" si="13"/>
        <v>#REF!</v>
      </c>
      <c r="G424" s="34" t="str">
        <f t="shared" si="14"/>
        <v>#REF!</v>
      </c>
      <c r="H424" s="54" t="s">
        <v>21</v>
      </c>
      <c r="I424" s="37" t="s">
        <v>77</v>
      </c>
      <c r="J424" s="54" t="s">
        <v>20</v>
      </c>
      <c r="K424" s="42" t="s">
        <v>95</v>
      </c>
      <c r="L424" s="42" t="s">
        <v>991</v>
      </c>
      <c r="M424" s="38">
        <v>25001.0</v>
      </c>
      <c r="N424" s="42" t="s">
        <v>25</v>
      </c>
      <c r="O424" s="42" t="s">
        <v>992</v>
      </c>
      <c r="P424" s="43"/>
    </row>
    <row r="425">
      <c r="A425" s="51">
        <v>1134.0</v>
      </c>
      <c r="B425" s="51">
        <v>1134.0</v>
      </c>
      <c r="C425" s="34">
        <f>IFERROR(__xludf.DUMMYFUNCTION("if(B425&lt;=999,if(B425&lt;=99,IF(B425&lt;=9,join(,""000"",B425),join(,""00"",B425)),join(,""0"",B425)),B425)"),1134.0)</f>
        <v>1134</v>
      </c>
      <c r="D425" s="52" t="s">
        <v>993</v>
      </c>
      <c r="E425" s="53" t="s">
        <v>20</v>
      </c>
      <c r="F425" s="34" t="str">
        <f t="shared" si="13"/>
        <v>#REF!</v>
      </c>
      <c r="G425" s="34" t="str">
        <f t="shared" si="14"/>
        <v>#REF!</v>
      </c>
      <c r="H425" s="54" t="s">
        <v>21</v>
      </c>
      <c r="I425" s="81"/>
      <c r="J425" s="54"/>
      <c r="K425" s="42"/>
      <c r="L425" s="42"/>
      <c r="M425" s="38">
        <v>8080.0</v>
      </c>
      <c r="N425" s="42"/>
      <c r="O425" s="42"/>
      <c r="P425" s="43"/>
    </row>
    <row r="426">
      <c r="A426" s="51">
        <v>1198.0</v>
      </c>
      <c r="B426" s="51">
        <v>1198.0</v>
      </c>
      <c r="C426" s="34">
        <f>IFERROR(__xludf.DUMMYFUNCTION("if(B426&lt;=999,if(B426&lt;=99,IF(B426&lt;=9,join(,""000"",B426),join(,""00"",B426)),join(,""0"",B426)),B426)"),1198.0)</f>
        <v>1198</v>
      </c>
      <c r="D426" s="52" t="s">
        <v>994</v>
      </c>
      <c r="E426" s="53" t="s">
        <v>20</v>
      </c>
      <c r="F426" s="34" t="str">
        <f t="shared" si="13"/>
        <v>#REF!</v>
      </c>
      <c r="G426" s="34" t="str">
        <f t="shared" si="14"/>
        <v>#REF!</v>
      </c>
      <c r="H426" s="54" t="s">
        <v>21</v>
      </c>
      <c r="I426" s="37" t="s">
        <v>101</v>
      </c>
      <c r="J426" s="54" t="s">
        <v>20</v>
      </c>
      <c r="K426" s="42" t="s">
        <v>360</v>
      </c>
      <c r="L426" s="42" t="s">
        <v>995</v>
      </c>
      <c r="M426" s="38">
        <v>80.0</v>
      </c>
      <c r="N426" s="42" t="s">
        <v>25</v>
      </c>
      <c r="O426" s="42" t="s">
        <v>55</v>
      </c>
      <c r="P426" s="43" t="s">
        <v>82</v>
      </c>
    </row>
    <row r="427">
      <c r="A427" s="51">
        <v>18.0</v>
      </c>
      <c r="B427" s="51">
        <v>18.0</v>
      </c>
      <c r="C427" s="34" t="str">
        <f>IFERROR(__xludf.DUMMYFUNCTION("if(B427&lt;=999,if(B427&lt;=99,IF(B427&lt;=9,join(,""000"",B427),join(,""00"",B427)),join(,""0"",B427)),B427)"),"0018")</f>
        <v>0018</v>
      </c>
      <c r="D427" s="52" t="s">
        <v>996</v>
      </c>
      <c r="E427" s="53" t="s">
        <v>20</v>
      </c>
      <c r="F427" s="34" t="str">
        <f t="shared" si="13"/>
        <v>#REF!</v>
      </c>
      <c r="G427" s="34" t="str">
        <f t="shared" si="14"/>
        <v>#REF!</v>
      </c>
      <c r="H427" s="54" t="s">
        <v>21</v>
      </c>
      <c r="I427" s="81" t="s">
        <v>34</v>
      </c>
      <c r="J427" s="54" t="s">
        <v>35</v>
      </c>
      <c r="K427" s="42"/>
      <c r="L427" s="42"/>
      <c r="M427" s="38">
        <v>16.0</v>
      </c>
      <c r="N427" s="42"/>
      <c r="O427" s="42"/>
      <c r="P427" s="43" t="s">
        <v>43</v>
      </c>
    </row>
    <row r="428">
      <c r="A428" s="51">
        <v>818.0</v>
      </c>
      <c r="B428" s="51">
        <v>818.0</v>
      </c>
      <c r="C428" s="34" t="str">
        <f>IFERROR(__xludf.DUMMYFUNCTION("if(B428&lt;=999,if(B428&lt;=99,IF(B428&lt;=9,join(,""000"",B428),join(,""00"",B428)),join(,""0"",B428)),B428)"),"0818")</f>
        <v>0818</v>
      </c>
      <c r="D428" s="52" t="s">
        <v>997</v>
      </c>
      <c r="E428" s="53" t="s">
        <v>20</v>
      </c>
      <c r="F428" s="34" t="str">
        <f t="shared" si="13"/>
        <v>#REF!</v>
      </c>
      <c r="G428" s="34" t="str">
        <f t="shared" si="14"/>
        <v>#REF!</v>
      </c>
      <c r="H428" s="54" t="s">
        <v>21</v>
      </c>
      <c r="I428" s="37" t="s">
        <v>22</v>
      </c>
      <c r="J428" s="54" t="s">
        <v>35</v>
      </c>
      <c r="K428" s="42" t="s">
        <v>95</v>
      </c>
      <c r="L428" s="36" t="s">
        <v>998</v>
      </c>
      <c r="M428" s="38">
        <v>1500.0</v>
      </c>
      <c r="N428" s="42" t="s">
        <v>389</v>
      </c>
      <c r="O428" s="42" t="s">
        <v>55</v>
      </c>
      <c r="P428" s="43"/>
    </row>
    <row r="429">
      <c r="A429" s="51">
        <v>1320.0</v>
      </c>
      <c r="B429" s="51">
        <v>1320.0</v>
      </c>
      <c r="C429" s="34">
        <f>IFERROR(__xludf.DUMMYFUNCTION("if(B429&lt;=999,if(B429&lt;=99,IF(B429&lt;=9,join(,""000"",B429),join(,""00"",B429)),join(,""0"",B429)),B429)"),1320.0)</f>
        <v>1320</v>
      </c>
      <c r="D429" s="52" t="s">
        <v>999</v>
      </c>
      <c r="E429" s="53" t="s">
        <v>20</v>
      </c>
      <c r="F429" s="34" t="str">
        <f t="shared" si="13"/>
        <v>#REF!</v>
      </c>
      <c r="G429" s="34" t="str">
        <f t="shared" si="14"/>
        <v>#REF!</v>
      </c>
      <c r="H429" s="54" t="s">
        <v>21</v>
      </c>
      <c r="I429" s="81" t="s">
        <v>99</v>
      </c>
      <c r="J429" s="54" t="s">
        <v>20</v>
      </c>
      <c r="K429" s="42" t="s">
        <v>95</v>
      </c>
      <c r="L429" s="74" t="s">
        <v>1000</v>
      </c>
      <c r="M429" s="38" t="e">
        <v>#N/A</v>
      </c>
      <c r="N429" s="42" t="s">
        <v>389</v>
      </c>
      <c r="O429" s="42" t="s">
        <v>1001</v>
      </c>
      <c r="P429" s="43"/>
    </row>
    <row r="430">
      <c r="A430" s="51">
        <v>1026.0</v>
      </c>
      <c r="B430" s="51">
        <v>1026.0</v>
      </c>
      <c r="C430" s="34">
        <f>IFERROR(__xludf.DUMMYFUNCTION("if(B430&lt;=999,if(B430&lt;=99,IF(B430&lt;=9,join(,""000"",B430),join(,""00"",B430)),join(,""0"",B430)),B430)"),1026.0)</f>
        <v>1026</v>
      </c>
      <c r="D430" s="52" t="s">
        <v>1002</v>
      </c>
      <c r="E430" s="53" t="s">
        <v>20</v>
      </c>
      <c r="F430" s="34" t="str">
        <f t="shared" si="13"/>
        <v>#REF!</v>
      </c>
      <c r="G430" s="34" t="str">
        <f t="shared" si="14"/>
        <v>#REF!</v>
      </c>
      <c r="H430" s="54" t="s">
        <v>21</v>
      </c>
      <c r="I430" s="37" t="s">
        <v>22</v>
      </c>
      <c r="J430" s="54" t="s">
        <v>20</v>
      </c>
      <c r="K430" s="42" t="s">
        <v>95</v>
      </c>
      <c r="L430" s="74" t="s">
        <v>1000</v>
      </c>
      <c r="M430" s="38">
        <v>80.0</v>
      </c>
      <c r="N430" s="42" t="s">
        <v>389</v>
      </c>
      <c r="O430" s="42" t="s">
        <v>1001</v>
      </c>
      <c r="P430" s="43" t="s">
        <v>97</v>
      </c>
    </row>
    <row r="431">
      <c r="A431" s="33">
        <v>1296.0</v>
      </c>
      <c r="B431" s="34">
        <v>1296.0</v>
      </c>
      <c r="C431" s="34">
        <f>IFERROR(__xludf.DUMMYFUNCTION("if(B431&lt;=999,if(B431&lt;=99,IF(B431&lt;=9,join(,""000"",B431),join(,""00"",B431)),join(,""0"",B431)),B431)"),1296.0)</f>
        <v>1296</v>
      </c>
      <c r="D431" s="35" t="s">
        <v>1003</v>
      </c>
      <c r="E431" s="53" t="s">
        <v>20</v>
      </c>
      <c r="F431" s="34" t="str">
        <f t="shared" si="13"/>
        <v>#REF!</v>
      </c>
      <c r="G431" s="34" t="str">
        <f t="shared" si="14"/>
        <v>#REF!</v>
      </c>
      <c r="H431" s="36" t="s">
        <v>21</v>
      </c>
      <c r="I431" s="37" t="s">
        <v>22</v>
      </c>
      <c r="J431" s="36" t="s">
        <v>20</v>
      </c>
      <c r="K431" s="36" t="s">
        <v>1004</v>
      </c>
      <c r="L431" s="36" t="s">
        <v>1005</v>
      </c>
      <c r="M431" s="38">
        <v>25.0</v>
      </c>
      <c r="N431" s="62" t="s">
        <v>389</v>
      </c>
      <c r="O431" s="62" t="s">
        <v>55</v>
      </c>
      <c r="P431" s="39"/>
    </row>
    <row r="432">
      <c r="A432" s="51">
        <v>1081.0</v>
      </c>
      <c r="B432" s="51">
        <v>1081.0</v>
      </c>
      <c r="C432" s="34">
        <f>IFERROR(__xludf.DUMMYFUNCTION("if(B432&lt;=999,if(B432&lt;=99,IF(B432&lt;=9,join(,""000"",B432),join(,""00"",B432)),join(,""0"",B432)),B432)"),1081.0)</f>
        <v>1081</v>
      </c>
      <c r="D432" s="52" t="s">
        <v>1006</v>
      </c>
      <c r="E432" s="53" t="s">
        <v>20</v>
      </c>
      <c r="F432" s="34" t="str">
        <f t="shared" si="13"/>
        <v>#REF!</v>
      </c>
      <c r="G432" s="34" t="str">
        <f t="shared" si="14"/>
        <v>#REF!</v>
      </c>
      <c r="H432" s="54" t="s">
        <v>21</v>
      </c>
      <c r="I432" s="81" t="s">
        <v>77</v>
      </c>
      <c r="J432" s="54" t="s">
        <v>35</v>
      </c>
      <c r="K432" s="42"/>
      <c r="L432" s="42"/>
      <c r="M432" s="38">
        <v>1025.0</v>
      </c>
      <c r="N432" s="42"/>
      <c r="O432" s="42"/>
      <c r="P432" s="43" t="s">
        <v>1007</v>
      </c>
    </row>
    <row r="433">
      <c r="A433" s="51">
        <v>1203.0</v>
      </c>
      <c r="B433" s="51">
        <v>1203.0</v>
      </c>
      <c r="C433" s="34">
        <f>IFERROR(__xludf.DUMMYFUNCTION("if(B433&lt;=999,if(B433&lt;=99,IF(B433&lt;=9,join(,""000"",B433),join(,""00"",B433)),join(,""0"",B433)),B433)"),1203.0)</f>
        <v>1203</v>
      </c>
      <c r="D433" s="52" t="s">
        <v>1008</v>
      </c>
      <c r="E433" s="53" t="s">
        <v>20</v>
      </c>
      <c r="F433" s="34" t="str">
        <f t="shared" si="13"/>
        <v>#REF!</v>
      </c>
      <c r="G433" s="34" t="str">
        <f t="shared" si="14"/>
        <v>#REF!</v>
      </c>
      <c r="H433" s="54" t="s">
        <v>21</v>
      </c>
      <c r="I433" s="37" t="s">
        <v>22</v>
      </c>
      <c r="J433" s="54" t="s">
        <v>35</v>
      </c>
      <c r="K433" s="42"/>
      <c r="L433" s="42"/>
      <c r="M433" s="38" t="e">
        <v>#N/A</v>
      </c>
      <c r="N433" s="42"/>
      <c r="O433" s="42"/>
      <c r="P433" s="43" t="s">
        <v>61</v>
      </c>
    </row>
    <row r="434">
      <c r="A434" s="33">
        <v>1225.0</v>
      </c>
      <c r="B434" s="34">
        <v>1225.0</v>
      </c>
      <c r="C434" s="34">
        <f>IFERROR(__xludf.DUMMYFUNCTION("if(B434&lt;=999,if(B434&lt;=99,IF(B434&lt;=9,join(,""000"",B434),join(,""00"",B434)),join(,""0"",B434)),B434)"),1225.0)</f>
        <v>1225</v>
      </c>
      <c r="D434" s="35" t="s">
        <v>1009</v>
      </c>
      <c r="E434" s="34" t="s">
        <v>35</v>
      </c>
      <c r="F434" s="34" t="str">
        <f t="shared" si="13"/>
        <v>#REF!</v>
      </c>
      <c r="G434" s="34" t="str">
        <f t="shared" si="14"/>
        <v>#REF!</v>
      </c>
      <c r="H434" s="36" t="s">
        <v>21</v>
      </c>
      <c r="I434" s="37" t="s">
        <v>77</v>
      </c>
      <c r="J434" s="54" t="s">
        <v>35</v>
      </c>
      <c r="K434" s="38"/>
      <c r="L434" s="42"/>
      <c r="M434" s="38" t="e">
        <v>#N/A</v>
      </c>
      <c r="N434" s="38"/>
      <c r="O434" s="38"/>
      <c r="P434" s="39" t="s">
        <v>70</v>
      </c>
    </row>
    <row r="435">
      <c r="A435" s="51">
        <v>807.0</v>
      </c>
      <c r="B435" s="51">
        <v>807.0</v>
      </c>
      <c r="C435" s="34" t="str">
        <f>IFERROR(__xludf.DUMMYFUNCTION("if(B435&lt;=999,if(B435&lt;=99,IF(B435&lt;=9,join(,""000"",B435),join(,""00"",B435)),join(,""0"",B435)),B435)"),"0807")</f>
        <v>0807</v>
      </c>
      <c r="D435" s="52" t="s">
        <v>1010</v>
      </c>
      <c r="E435" s="53" t="s">
        <v>20</v>
      </c>
      <c r="F435" s="34" t="str">
        <f t="shared" si="13"/>
        <v>#REF!</v>
      </c>
      <c r="G435" s="34" t="str">
        <f t="shared" si="14"/>
        <v>#REF!</v>
      </c>
      <c r="H435" s="54" t="s">
        <v>21</v>
      </c>
      <c r="I435" s="81" t="s">
        <v>99</v>
      </c>
      <c r="J435" s="54" t="s">
        <v>20</v>
      </c>
      <c r="K435" s="42" t="s">
        <v>1011</v>
      </c>
      <c r="L435" s="42" t="s">
        <v>1012</v>
      </c>
      <c r="M435" s="38" t="s">
        <v>1013</v>
      </c>
      <c r="N435" s="42" t="s">
        <v>25</v>
      </c>
      <c r="O435" s="42" t="s">
        <v>383</v>
      </c>
      <c r="P435" s="43"/>
    </row>
    <row r="436">
      <c r="A436" s="51">
        <v>345.0</v>
      </c>
      <c r="B436" s="51">
        <v>345.0</v>
      </c>
      <c r="C436" s="34" t="str">
        <f>IFERROR(__xludf.DUMMYFUNCTION("if(B436&lt;=999,if(B436&lt;=99,IF(B436&lt;=9,join(,""000"",B436),join(,""00"",B436)),join(,""0"",B436)),B436)"),"0345")</f>
        <v>0345</v>
      </c>
      <c r="D436" s="52" t="s">
        <v>1014</v>
      </c>
      <c r="E436" s="53" t="s">
        <v>20</v>
      </c>
      <c r="F436" s="34" t="str">
        <f t="shared" si="13"/>
        <v>#REF!</v>
      </c>
      <c r="G436" s="34" t="str">
        <f t="shared" si="14"/>
        <v>#REF!</v>
      </c>
      <c r="H436" s="54" t="s">
        <v>21</v>
      </c>
      <c r="I436" s="37" t="s">
        <v>22</v>
      </c>
      <c r="J436" s="54" t="s">
        <v>35</v>
      </c>
      <c r="K436" s="42" t="s">
        <v>95</v>
      </c>
      <c r="L436" s="36" t="s">
        <v>1015</v>
      </c>
      <c r="M436" s="38">
        <v>80.0</v>
      </c>
      <c r="N436" s="62" t="s">
        <v>104</v>
      </c>
      <c r="O436" s="62" t="s">
        <v>606</v>
      </c>
      <c r="P436" s="43" t="s">
        <v>729</v>
      </c>
    </row>
    <row r="437">
      <c r="A437" s="55">
        <v>1181.0</v>
      </c>
      <c r="B437" s="55">
        <v>1181.0</v>
      </c>
      <c r="C437" s="45">
        <f>IFERROR(__xludf.DUMMYFUNCTION("if(B437&lt;=999,if(B437&lt;=99,IF(B437&lt;=9,join(,""000"",B437),join(,""00"",B437)),join(,""0"",B437)),B437)"),1181.0)</f>
        <v>1181</v>
      </c>
      <c r="D437" s="56" t="s">
        <v>1016</v>
      </c>
      <c r="E437" s="55" t="s">
        <v>20</v>
      </c>
      <c r="F437" s="45" t="str">
        <f t="shared" si="13"/>
        <v>#REF!</v>
      </c>
      <c r="G437" s="45" t="str">
        <f t="shared" si="14"/>
        <v>#REF!</v>
      </c>
      <c r="H437" s="57" t="s">
        <v>21</v>
      </c>
      <c r="I437" s="83" t="s">
        <v>73</v>
      </c>
      <c r="J437" s="57" t="s">
        <v>35</v>
      </c>
      <c r="K437" s="60"/>
      <c r="L437" s="60" t="s">
        <v>995</v>
      </c>
      <c r="M437" s="49">
        <v>4.0</v>
      </c>
      <c r="N437" s="60" t="s">
        <v>25</v>
      </c>
      <c r="O437" s="60" t="s">
        <v>55</v>
      </c>
      <c r="P437" s="61"/>
    </row>
    <row r="438">
      <c r="A438" s="51">
        <v>1059.0</v>
      </c>
      <c r="B438" s="51">
        <v>1059.0</v>
      </c>
      <c r="C438" s="34">
        <f>IFERROR(__xludf.DUMMYFUNCTION("if(B438&lt;=999,if(B438&lt;=99,IF(B438&lt;=9,join(,""000"",B438),join(,""00"",B438)),join(,""0"",B438)),B438)"),1059.0)</f>
        <v>1059</v>
      </c>
      <c r="D438" s="52" t="s">
        <v>1017</v>
      </c>
      <c r="E438" s="53" t="s">
        <v>20</v>
      </c>
      <c r="F438" s="34" t="str">
        <f t="shared" si="13"/>
        <v>#REF!</v>
      </c>
      <c r="G438" s="34" t="str">
        <f t="shared" si="14"/>
        <v>#REF!</v>
      </c>
      <c r="H438" s="54" t="s">
        <v>21</v>
      </c>
      <c r="I438" s="37" t="s">
        <v>22</v>
      </c>
      <c r="J438" s="54" t="s">
        <v>35</v>
      </c>
      <c r="K438" s="42"/>
      <c r="L438" s="42"/>
      <c r="M438" s="38">
        <v>25001.0</v>
      </c>
      <c r="N438" s="42"/>
      <c r="O438" s="42"/>
      <c r="P438" s="43" t="s">
        <v>1018</v>
      </c>
    </row>
    <row r="439">
      <c r="A439" s="33">
        <v>979.0</v>
      </c>
      <c r="B439" s="34">
        <v>979.0</v>
      </c>
      <c r="C439" s="34" t="str">
        <f>IFERROR(__xludf.DUMMYFUNCTION("if(B439&lt;=999,if(B439&lt;=99,IF(B439&lt;=9,join(,""000"",B439),join(,""00"",B439)),join(,""0"",B439)),B439)"),"0979")</f>
        <v>0979</v>
      </c>
      <c r="D439" s="35" t="s">
        <v>1019</v>
      </c>
      <c r="E439" s="34" t="s">
        <v>20</v>
      </c>
      <c r="F439" s="34" t="str">
        <f t="shared" si="13"/>
        <v>#REF!</v>
      </c>
      <c r="G439" s="34" t="str">
        <f t="shared" si="14"/>
        <v>#REF!</v>
      </c>
      <c r="H439" s="36" t="s">
        <v>21</v>
      </c>
      <c r="I439" s="37" t="s">
        <v>34</v>
      </c>
      <c r="J439" s="36" t="s">
        <v>35</v>
      </c>
      <c r="K439" s="38"/>
      <c r="L439" s="42"/>
      <c r="M439" s="38">
        <v>25001.0</v>
      </c>
      <c r="N439" s="38"/>
      <c r="O439" s="38"/>
      <c r="P439" s="39" t="s">
        <v>697</v>
      </c>
    </row>
    <row r="440">
      <c r="A440" s="51">
        <v>1080.0</v>
      </c>
      <c r="B440" s="51">
        <v>1080.0</v>
      </c>
      <c r="C440" s="34">
        <f>IFERROR(__xludf.DUMMYFUNCTION("if(B440&lt;=999,if(B440&lt;=99,IF(B440&lt;=9,join(,""000"",B440),join(,""00"",B440)),join(,""0"",B440)),B440)"),1080.0)</f>
        <v>1080</v>
      </c>
      <c r="D440" s="52" t="s">
        <v>1020</v>
      </c>
      <c r="E440" s="53" t="s">
        <v>20</v>
      </c>
      <c r="F440" s="34" t="str">
        <f t="shared" si="13"/>
        <v>#REF!</v>
      </c>
      <c r="G440" s="34" t="str">
        <f t="shared" si="14"/>
        <v>#REF!</v>
      </c>
      <c r="H440" s="54" t="s">
        <v>21</v>
      </c>
      <c r="I440" s="37" t="s">
        <v>73</v>
      </c>
      <c r="J440" s="54" t="s">
        <v>35</v>
      </c>
      <c r="K440" s="42" t="s">
        <v>95</v>
      </c>
      <c r="L440" s="42" t="s">
        <v>1021</v>
      </c>
      <c r="M440" s="38">
        <v>25001.0</v>
      </c>
      <c r="N440" s="42" t="s">
        <v>288</v>
      </c>
      <c r="O440" s="42" t="s">
        <v>55</v>
      </c>
      <c r="P440" s="43" t="s">
        <v>1022</v>
      </c>
    </row>
    <row r="441">
      <c r="A441" s="51">
        <v>50.0</v>
      </c>
      <c r="B441" s="51">
        <v>50.0</v>
      </c>
      <c r="C441" s="34" t="str">
        <f>IFERROR(__xludf.DUMMYFUNCTION("if(B441&lt;=999,if(B441&lt;=99,IF(B441&lt;=9,join(,""000"",B441),join(,""00"",B441)),join(,""0"",B441)),B441)"),"0050")</f>
        <v>0050</v>
      </c>
      <c r="D441" s="52" t="s">
        <v>1023</v>
      </c>
      <c r="E441" s="53" t="s">
        <v>20</v>
      </c>
      <c r="F441" s="34" t="str">
        <f t="shared" si="13"/>
        <v>#REF!</v>
      </c>
      <c r="G441" s="34" t="str">
        <f t="shared" si="14"/>
        <v>#REF!</v>
      </c>
      <c r="H441" s="54" t="s">
        <v>21</v>
      </c>
      <c r="I441" s="37" t="s">
        <v>101</v>
      </c>
      <c r="J441" s="54" t="s">
        <v>35</v>
      </c>
      <c r="K441" s="36"/>
      <c r="L441" s="42"/>
      <c r="M441" s="38">
        <v>8000.0</v>
      </c>
      <c r="N441" s="36"/>
      <c r="O441" s="36"/>
      <c r="P441" s="36" t="s">
        <v>754</v>
      </c>
    </row>
    <row r="442">
      <c r="A442" s="51">
        <v>1318.0</v>
      </c>
      <c r="B442" s="51">
        <v>1318.0</v>
      </c>
      <c r="C442" s="34">
        <f>IFERROR(__xludf.DUMMYFUNCTION("if(B442&lt;=999,if(B442&lt;=99,IF(B442&lt;=9,join(,""000"",B442),join(,""00"",B442)),join(,""0"",B442)),B442)"),1318.0)</f>
        <v>1318</v>
      </c>
      <c r="D442" s="52" t="s">
        <v>1024</v>
      </c>
      <c r="E442" s="53" t="s">
        <v>20</v>
      </c>
      <c r="F442" s="34" t="str">
        <f t="shared" si="13"/>
        <v>#REF!</v>
      </c>
      <c r="G442" s="34" t="str">
        <f t="shared" si="14"/>
        <v>#REF!</v>
      </c>
      <c r="H442" s="54" t="s">
        <v>21</v>
      </c>
      <c r="I442" s="37" t="s">
        <v>22</v>
      </c>
      <c r="J442" s="54" t="s">
        <v>35</v>
      </c>
      <c r="K442" s="36"/>
      <c r="L442" s="42"/>
      <c r="M442" s="38">
        <v>25001.0</v>
      </c>
      <c r="N442" s="36"/>
      <c r="O442" s="36"/>
      <c r="P442" s="36" t="s">
        <v>754</v>
      </c>
    </row>
    <row r="443">
      <c r="A443" s="51">
        <v>1071.0</v>
      </c>
      <c r="B443" s="51">
        <v>1071.0</v>
      </c>
      <c r="C443" s="34">
        <f>IFERROR(__xludf.DUMMYFUNCTION("if(B443&lt;=999,if(B443&lt;=99,IF(B443&lt;=9,join(,""000"",B443),join(,""00"",B443)),join(,""0"",B443)),B443)"),1071.0)</f>
        <v>1071</v>
      </c>
      <c r="D443" s="52" t="s">
        <v>1025</v>
      </c>
      <c r="E443" s="53" t="s">
        <v>20</v>
      </c>
      <c r="F443" s="34" t="str">
        <f t="shared" si="13"/>
        <v>#REF!</v>
      </c>
      <c r="G443" s="34" t="str">
        <f t="shared" si="14"/>
        <v>#REF!</v>
      </c>
      <c r="H443" s="54" t="s">
        <v>21</v>
      </c>
      <c r="I443" s="37" t="s">
        <v>101</v>
      </c>
      <c r="J443" s="54" t="s">
        <v>35</v>
      </c>
      <c r="K443" s="42"/>
      <c r="L443" s="42"/>
      <c r="M443" s="38" t="s">
        <v>1026</v>
      </c>
      <c r="N443" s="42"/>
      <c r="O443" s="42"/>
      <c r="P443" s="43" t="s">
        <v>70</v>
      </c>
    </row>
    <row r="444">
      <c r="A444" s="33">
        <v>239.0</v>
      </c>
      <c r="B444" s="34">
        <v>239.0</v>
      </c>
      <c r="C444" s="34" t="str">
        <f>IFERROR(__xludf.DUMMYFUNCTION("if(B444&lt;=999,if(B444&lt;=99,IF(B444&lt;=9,join(,""000"",B444),join(,""00"",B444)),join(,""0"",B444)),B444)"),"0239")</f>
        <v>0239</v>
      </c>
      <c r="D444" s="35" t="s">
        <v>1027</v>
      </c>
      <c r="E444" s="34" t="s">
        <v>20</v>
      </c>
      <c r="F444" s="34" t="str">
        <f t="shared" si="13"/>
        <v>#REF!</v>
      </c>
      <c r="G444" s="34" t="str">
        <f t="shared" si="14"/>
        <v>#REF!</v>
      </c>
      <c r="H444" s="36" t="s">
        <v>21</v>
      </c>
      <c r="I444" s="37" t="s">
        <v>22</v>
      </c>
      <c r="J444" s="36" t="s">
        <v>35</v>
      </c>
      <c r="K444" s="42"/>
      <c r="L444" s="42"/>
      <c r="M444" s="38">
        <v>8080.0</v>
      </c>
      <c r="N444" s="42"/>
      <c r="O444" s="42"/>
      <c r="P444" s="43" t="s">
        <v>43</v>
      </c>
    </row>
    <row r="445">
      <c r="A445" s="33">
        <v>1252.0</v>
      </c>
      <c r="B445" s="34">
        <v>1252.0</v>
      </c>
      <c r="C445" s="34">
        <f>IFERROR(__xludf.DUMMYFUNCTION("if(B445&lt;=999,if(B445&lt;=99,IF(B445&lt;=9,join(,""000"",B445),join(,""00"",B445)),join(,""0"",B445)),B445)"),1252.0)</f>
        <v>1252</v>
      </c>
      <c r="D445" s="35" t="s">
        <v>1028</v>
      </c>
      <c r="E445" s="34" t="s">
        <v>20</v>
      </c>
      <c r="F445" s="34" t="str">
        <f t="shared" si="13"/>
        <v>#REF!</v>
      </c>
      <c r="G445" s="34" t="str">
        <f t="shared" si="14"/>
        <v>#REF!</v>
      </c>
      <c r="H445" s="36" t="s">
        <v>21</v>
      </c>
      <c r="I445" s="37" t="s">
        <v>22</v>
      </c>
      <c r="J445" s="36" t="s">
        <v>20</v>
      </c>
      <c r="K445" s="38"/>
      <c r="L445" s="42"/>
      <c r="M445" s="38" t="s">
        <v>1029</v>
      </c>
      <c r="N445" s="38"/>
      <c r="O445" s="38"/>
      <c r="P445" s="39" t="s">
        <v>1030</v>
      </c>
    </row>
    <row r="446" ht="15.75" customHeight="1">
      <c r="A446" s="51">
        <v>1216.0</v>
      </c>
      <c r="B446" s="51">
        <v>1216.0</v>
      </c>
      <c r="C446" s="34">
        <f>IFERROR(__xludf.DUMMYFUNCTION("if(B446&lt;=999,if(B446&lt;=99,IF(B446&lt;=9,join(,""000"",B446),join(,""00"",B446)),join(,""0"",B446)),B446)"),1216.0)</f>
        <v>1216</v>
      </c>
      <c r="D446" s="52" t="s">
        <v>1031</v>
      </c>
      <c r="E446" s="53" t="s">
        <v>20</v>
      </c>
      <c r="F446" s="34" t="str">
        <f t="shared" si="13"/>
        <v>#REF!</v>
      </c>
      <c r="G446" s="34" t="str">
        <f t="shared" si="14"/>
        <v>#REF!</v>
      </c>
      <c r="H446" s="54" t="s">
        <v>21</v>
      </c>
      <c r="I446" s="37" t="s">
        <v>22</v>
      </c>
      <c r="J446" s="54" t="s">
        <v>20</v>
      </c>
      <c r="K446" s="42"/>
      <c r="L446" s="59" t="s">
        <v>1030</v>
      </c>
      <c r="M446" s="38" t="e">
        <v>#N/A</v>
      </c>
      <c r="N446" s="42" t="s">
        <v>25</v>
      </c>
      <c r="O446" s="59" t="s">
        <v>980</v>
      </c>
      <c r="P446" s="43" t="s">
        <v>1032</v>
      </c>
    </row>
    <row r="447">
      <c r="A447" s="33">
        <v>1406.0</v>
      </c>
      <c r="B447" s="34">
        <v>1406.0</v>
      </c>
      <c r="C447" s="34">
        <f>IFERROR(__xludf.DUMMYFUNCTION("if(B447&lt;=999,if(B447&lt;=99,IF(B447&lt;=9,join(,""000"",B447),join(,""00"",B447)),join(,""0"",B447)),B447)"),1406.0)</f>
        <v>1406</v>
      </c>
      <c r="D447" s="35" t="s">
        <v>1033</v>
      </c>
      <c r="E447" s="34" t="s">
        <v>35</v>
      </c>
      <c r="F447" s="34" t="str">
        <f t="shared" si="13"/>
        <v>#REF!</v>
      </c>
      <c r="G447" s="34" t="str">
        <f t="shared" si="14"/>
        <v>#REF!</v>
      </c>
      <c r="H447" s="36" t="s">
        <v>21</v>
      </c>
      <c r="I447" s="37"/>
      <c r="J447" s="36"/>
      <c r="K447" s="38"/>
      <c r="L447" s="42"/>
      <c r="M447" s="38" t="e">
        <v>#N/A</v>
      </c>
      <c r="N447" s="38"/>
      <c r="O447" s="38"/>
      <c r="P447" s="39"/>
    </row>
    <row r="448">
      <c r="A448" s="55">
        <v>739.0</v>
      </c>
      <c r="B448" s="55">
        <v>739.0</v>
      </c>
      <c r="C448" s="45" t="str">
        <f>IFERROR(__xludf.DUMMYFUNCTION("if(B448&lt;=999,if(B448&lt;=99,IF(B448&lt;=9,join(,""000"",B448),join(,""00"",B448)),join(,""0"",B448)),B448)"),"0739")</f>
        <v>0739</v>
      </c>
      <c r="D448" s="56" t="s">
        <v>1034</v>
      </c>
      <c r="E448" s="55" t="s">
        <v>20</v>
      </c>
      <c r="F448" s="45" t="str">
        <f t="shared" si="13"/>
        <v>#REF!</v>
      </c>
      <c r="G448" s="45" t="str">
        <f t="shared" si="14"/>
        <v>#REF!</v>
      </c>
      <c r="H448" s="57" t="s">
        <v>21</v>
      </c>
      <c r="I448" s="48" t="s">
        <v>22</v>
      </c>
      <c r="J448" s="57" t="s">
        <v>35</v>
      </c>
      <c r="K448" s="47" t="s">
        <v>1035</v>
      </c>
      <c r="L448" s="47" t="s">
        <v>1036</v>
      </c>
      <c r="M448" s="49" t="s">
        <v>1037</v>
      </c>
      <c r="N448" s="60" t="s">
        <v>25</v>
      </c>
      <c r="O448" s="60" t="s">
        <v>1038</v>
      </c>
      <c r="P448" s="61" t="s">
        <v>50</v>
      </c>
    </row>
    <row r="449">
      <c r="A449" s="51">
        <v>119.0</v>
      </c>
      <c r="B449" s="51">
        <v>119.0</v>
      </c>
      <c r="C449" s="34" t="str">
        <f>IFERROR(__xludf.DUMMYFUNCTION("if(B449&lt;=999,if(B449&lt;=99,IF(B449&lt;=9,join(,""000"",B449),join(,""00"",B449)),join(,""0"",B449)),B449)"),"0119")</f>
        <v>0119</v>
      </c>
      <c r="D449" s="52" t="s">
        <v>1039</v>
      </c>
      <c r="E449" s="53" t="s">
        <v>20</v>
      </c>
      <c r="F449" s="34" t="s">
        <v>1040</v>
      </c>
      <c r="G449" s="34">
        <v>9.76182961E9</v>
      </c>
      <c r="H449" s="54" t="s">
        <v>21</v>
      </c>
      <c r="I449" s="37" t="s">
        <v>22</v>
      </c>
      <c r="J449" s="54" t="s">
        <v>20</v>
      </c>
      <c r="K449" s="47" t="s">
        <v>1035</v>
      </c>
      <c r="L449" s="42" t="s">
        <v>1041</v>
      </c>
      <c r="M449" s="38">
        <v>81.0</v>
      </c>
      <c r="N449" s="60" t="s">
        <v>25</v>
      </c>
      <c r="O449" s="60" t="s">
        <v>1038</v>
      </c>
      <c r="P449" s="43" t="s">
        <v>97</v>
      </c>
    </row>
    <row r="450">
      <c r="A450" s="51">
        <v>87.0</v>
      </c>
      <c r="B450" s="51">
        <v>87.0</v>
      </c>
      <c r="C450" s="34" t="str">
        <f>IFERROR(__xludf.DUMMYFUNCTION("if(B450&lt;=999,if(B450&lt;=99,IF(B450&lt;=9,join(,""000"",B450),join(,""00"",B450)),join(,""0"",B450)),B450)"),"0087")</f>
        <v>0087</v>
      </c>
      <c r="D450" s="52" t="s">
        <v>1042</v>
      </c>
      <c r="E450" s="53" t="s">
        <v>20</v>
      </c>
      <c r="F450" s="34" t="s">
        <v>1040</v>
      </c>
      <c r="G450" s="34">
        <v>9.76182961E9</v>
      </c>
      <c r="H450" s="54" t="s">
        <v>21</v>
      </c>
      <c r="I450" s="37" t="s">
        <v>34</v>
      </c>
      <c r="J450" s="54" t="s">
        <v>20</v>
      </c>
      <c r="K450" s="47" t="s">
        <v>1035</v>
      </c>
      <c r="L450" s="42" t="s">
        <v>1041</v>
      </c>
      <c r="M450" s="38">
        <v>81.0</v>
      </c>
      <c r="N450" s="60" t="s">
        <v>25</v>
      </c>
      <c r="O450" s="60" t="s">
        <v>1038</v>
      </c>
      <c r="P450" s="43" t="s">
        <v>97</v>
      </c>
    </row>
    <row r="451">
      <c r="A451" s="51">
        <v>1280.0</v>
      </c>
      <c r="B451" s="51">
        <v>1280.0</v>
      </c>
      <c r="C451" s="34">
        <f>IFERROR(__xludf.DUMMYFUNCTION("if(B451&lt;=999,if(B451&lt;=99,IF(B451&lt;=9,join(,""000"",B451),join(,""00"",B451)),join(,""0"",B451)),B451)"),1280.0)</f>
        <v>1280</v>
      </c>
      <c r="D451" s="52" t="s">
        <v>1043</v>
      </c>
      <c r="E451" s="53" t="s">
        <v>20</v>
      </c>
      <c r="F451" s="34" t="str">
        <f t="shared" ref="F451:F599" si="15">VLOOKUP(C451,'Copy of Form Responses; CCTV Infra 1'!$G$2:$I$675,2,false)</f>
        <v>#REF!</v>
      </c>
      <c r="G451" s="34" t="str">
        <f t="shared" ref="G451:G599" si="16">VLOOKUP(C451,'Copy of Form Responses; CCTV Infra 1'!$G$2:$I$675,3,false)</f>
        <v>#REF!</v>
      </c>
      <c r="H451" s="54" t="s">
        <v>21</v>
      </c>
      <c r="I451" s="81" t="s">
        <v>34</v>
      </c>
      <c r="J451" s="54" t="s">
        <v>35</v>
      </c>
      <c r="K451" s="42"/>
      <c r="L451" s="42"/>
      <c r="M451" s="38" t="s">
        <v>244</v>
      </c>
      <c r="N451" s="42"/>
      <c r="O451" s="42"/>
      <c r="P451" s="43" t="s">
        <v>729</v>
      </c>
    </row>
    <row r="452">
      <c r="A452" s="51">
        <v>251.0</v>
      </c>
      <c r="B452" s="51">
        <v>251.0</v>
      </c>
      <c r="C452" s="34" t="str">
        <f>IFERROR(__xludf.DUMMYFUNCTION("if(B452&lt;=999,if(B452&lt;=99,IF(B452&lt;=9,join(,""000"",B452),join(,""00"",B452)),join(,""0"",B452)),B452)"),"0251")</f>
        <v>0251</v>
      </c>
      <c r="D452" s="52" t="s">
        <v>1044</v>
      </c>
      <c r="E452" s="53" t="s">
        <v>35</v>
      </c>
      <c r="F452" s="34" t="str">
        <f t="shared" si="15"/>
        <v>#REF!</v>
      </c>
      <c r="G452" s="34" t="str">
        <f t="shared" si="16"/>
        <v>#REF!</v>
      </c>
      <c r="H452" s="54" t="s">
        <v>21</v>
      </c>
      <c r="I452" s="81"/>
      <c r="J452" s="54"/>
      <c r="K452" s="42"/>
      <c r="L452" s="42"/>
      <c r="M452" s="38" t="e">
        <v>#N/A</v>
      </c>
      <c r="N452" s="42"/>
      <c r="O452" s="42"/>
      <c r="P452" s="43"/>
    </row>
    <row r="453">
      <c r="A453" s="51">
        <v>1197.0</v>
      </c>
      <c r="B453" s="51">
        <v>1197.0</v>
      </c>
      <c r="C453" s="34">
        <f>IFERROR(__xludf.DUMMYFUNCTION("if(B453&lt;=999,if(B453&lt;=99,IF(B453&lt;=9,join(,""000"",B453),join(,""00"",B453)),join(,""0"",B453)),B453)"),1197.0)</f>
        <v>1197</v>
      </c>
      <c r="D453" s="52" t="s">
        <v>1045</v>
      </c>
      <c r="E453" s="53" t="s">
        <v>20</v>
      </c>
      <c r="F453" s="34" t="str">
        <f t="shared" si="15"/>
        <v>#REF!</v>
      </c>
      <c r="G453" s="34" t="str">
        <f t="shared" si="16"/>
        <v>#REF!</v>
      </c>
      <c r="H453" s="54" t="s">
        <v>21</v>
      </c>
      <c r="I453" s="81" t="s">
        <v>101</v>
      </c>
      <c r="J453" s="54"/>
      <c r="K453" s="42"/>
      <c r="L453" s="42"/>
      <c r="M453" s="38" t="s">
        <v>1046</v>
      </c>
      <c r="N453" s="42"/>
      <c r="O453" s="42"/>
      <c r="P453" s="43" t="s">
        <v>1047</v>
      </c>
    </row>
    <row r="454">
      <c r="A454" s="51">
        <v>78.0</v>
      </c>
      <c r="B454" s="51">
        <v>78.0</v>
      </c>
      <c r="C454" s="34" t="str">
        <f>IFERROR(__xludf.DUMMYFUNCTION("if(B454&lt;=999,if(B454&lt;=99,IF(B454&lt;=9,join(,""000"",B454),join(,""00"",B454)),join(,""0"",B454)),B454)"),"0078")</f>
        <v>0078</v>
      </c>
      <c r="D454" s="52" t="s">
        <v>1048</v>
      </c>
      <c r="E454" s="53" t="s">
        <v>20</v>
      </c>
      <c r="F454" s="34" t="str">
        <f t="shared" si="15"/>
        <v>#REF!</v>
      </c>
      <c r="G454" s="34" t="str">
        <f t="shared" si="16"/>
        <v>#REF!</v>
      </c>
      <c r="H454" s="54" t="s">
        <v>21</v>
      </c>
      <c r="I454" s="37" t="s">
        <v>22</v>
      </c>
      <c r="J454" s="54" t="s">
        <v>35</v>
      </c>
      <c r="K454" s="42" t="s">
        <v>95</v>
      </c>
      <c r="L454" s="36" t="s">
        <v>1049</v>
      </c>
      <c r="M454" s="38" t="e">
        <v>#N/A</v>
      </c>
      <c r="N454" s="62" t="s">
        <v>25</v>
      </c>
      <c r="O454" s="62" t="s">
        <v>256</v>
      </c>
      <c r="P454" s="43"/>
    </row>
    <row r="455">
      <c r="A455" s="33">
        <v>410.0</v>
      </c>
      <c r="B455" s="34">
        <v>410.0</v>
      </c>
      <c r="C455" s="34" t="str">
        <f>IFERROR(__xludf.DUMMYFUNCTION("if(B455&lt;=999,if(B455&lt;=99,IF(B455&lt;=9,join(,""000"",B455),join(,""00"",B455)),join(,""0"",B455)),B455)"),"0410")</f>
        <v>0410</v>
      </c>
      <c r="D455" s="35" t="s">
        <v>1050</v>
      </c>
      <c r="E455" s="34" t="s">
        <v>20</v>
      </c>
      <c r="F455" s="34" t="str">
        <f t="shared" si="15"/>
        <v>#REF!</v>
      </c>
      <c r="G455" s="34" t="str">
        <f t="shared" si="16"/>
        <v>#REF!</v>
      </c>
      <c r="H455" s="36" t="s">
        <v>21</v>
      </c>
      <c r="I455" s="37" t="s">
        <v>101</v>
      </c>
      <c r="J455" s="36" t="s">
        <v>35</v>
      </c>
      <c r="K455" s="91" t="s">
        <v>95</v>
      </c>
      <c r="L455" s="62" t="s">
        <v>1049</v>
      </c>
      <c r="M455" s="38" t="s">
        <v>1051</v>
      </c>
      <c r="N455" s="62" t="s">
        <v>25</v>
      </c>
      <c r="O455" s="62" t="s">
        <v>256</v>
      </c>
      <c r="P455" s="39"/>
    </row>
    <row r="456">
      <c r="A456" s="51">
        <v>518.0</v>
      </c>
      <c r="B456" s="51">
        <v>518.0</v>
      </c>
      <c r="C456" s="34" t="str">
        <f>IFERROR(__xludf.DUMMYFUNCTION("if(B456&lt;=999,if(B456&lt;=99,IF(B456&lt;=9,join(,""000"",B456),join(,""00"",B456)),join(,""0"",B456)),B456)"),"0518")</f>
        <v>0518</v>
      </c>
      <c r="D456" s="52" t="s">
        <v>1052</v>
      </c>
      <c r="E456" s="53" t="s">
        <v>20</v>
      </c>
      <c r="F456" s="34" t="str">
        <f t="shared" si="15"/>
        <v>#REF!</v>
      </c>
      <c r="G456" s="34" t="str">
        <f t="shared" si="16"/>
        <v>#REF!</v>
      </c>
      <c r="H456" s="54" t="s">
        <v>21</v>
      </c>
      <c r="I456" s="37" t="s">
        <v>22</v>
      </c>
      <c r="J456" s="54" t="s">
        <v>35</v>
      </c>
      <c r="K456" s="42"/>
      <c r="L456" s="42"/>
      <c r="M456" s="38">
        <v>32.0</v>
      </c>
      <c r="N456" s="42"/>
      <c r="O456" s="42"/>
      <c r="P456" s="43" t="s">
        <v>43</v>
      </c>
    </row>
    <row r="457">
      <c r="A457" s="51">
        <v>338.0</v>
      </c>
      <c r="B457" s="51">
        <v>338.0</v>
      </c>
      <c r="C457" s="34" t="str">
        <f>IFERROR(__xludf.DUMMYFUNCTION("if(B457&lt;=999,if(B457&lt;=99,IF(B457&lt;=9,join(,""000"",B457),join(,""00"",B457)),join(,""0"",B457)),B457)"),"0338")</f>
        <v>0338</v>
      </c>
      <c r="D457" s="52" t="s">
        <v>1053</v>
      </c>
      <c r="E457" s="53" t="s">
        <v>20</v>
      </c>
      <c r="F457" s="34" t="str">
        <f t="shared" si="15"/>
        <v>#REF!</v>
      </c>
      <c r="G457" s="34" t="str">
        <f t="shared" si="16"/>
        <v>#REF!</v>
      </c>
      <c r="H457" s="54" t="s">
        <v>21</v>
      </c>
      <c r="I457" s="37" t="s">
        <v>22</v>
      </c>
      <c r="J457" s="54" t="s">
        <v>20</v>
      </c>
      <c r="K457" s="42" t="s">
        <v>95</v>
      </c>
      <c r="L457" s="36" t="s">
        <v>1054</v>
      </c>
      <c r="M457" s="38" t="s">
        <v>684</v>
      </c>
      <c r="N457" s="42" t="s">
        <v>25</v>
      </c>
      <c r="O457" s="42" t="s">
        <v>86</v>
      </c>
      <c r="P457" s="43"/>
    </row>
    <row r="458">
      <c r="A458" s="51">
        <v>1374.0</v>
      </c>
      <c r="B458" s="51">
        <v>1374.0</v>
      </c>
      <c r="C458" s="34">
        <f>IFERROR(__xludf.DUMMYFUNCTION("if(B458&lt;=999,if(B458&lt;=99,IF(B458&lt;=9,join(,""000"",B458),join(,""00"",B458)),join(,""0"",B458)),B458)"),1374.0)</f>
        <v>1374</v>
      </c>
      <c r="D458" s="52" t="s">
        <v>1055</v>
      </c>
      <c r="E458" s="53" t="s">
        <v>20</v>
      </c>
      <c r="F458" s="34" t="str">
        <f t="shared" si="15"/>
        <v>#REF!</v>
      </c>
      <c r="G458" s="34" t="str">
        <f t="shared" si="16"/>
        <v>#REF!</v>
      </c>
      <c r="H458" s="54" t="s">
        <v>21</v>
      </c>
      <c r="I458" s="37" t="s">
        <v>22</v>
      </c>
      <c r="J458" s="54" t="s">
        <v>20</v>
      </c>
      <c r="K458" s="42" t="s">
        <v>28</v>
      </c>
      <c r="L458" s="42" t="s">
        <v>1056</v>
      </c>
      <c r="M458" s="38" t="e">
        <v>#N/A</v>
      </c>
      <c r="N458" s="42" t="s">
        <v>25</v>
      </c>
      <c r="O458" s="42" t="s">
        <v>86</v>
      </c>
      <c r="P458" s="43" t="s">
        <v>56</v>
      </c>
    </row>
    <row r="459">
      <c r="A459" s="51">
        <v>1286.0</v>
      </c>
      <c r="B459" s="51">
        <v>1286.0</v>
      </c>
      <c r="C459" s="34">
        <f>IFERROR(__xludf.DUMMYFUNCTION("if(B459&lt;=999,if(B459&lt;=99,IF(B459&lt;=9,join(,""000"",B459),join(,""00"",B459)),join(,""0"",B459)),B459)"),1286.0)</f>
        <v>1286</v>
      </c>
      <c r="D459" s="52" t="s">
        <v>1057</v>
      </c>
      <c r="E459" s="53" t="s">
        <v>20</v>
      </c>
      <c r="F459" s="34" t="str">
        <f t="shared" si="15"/>
        <v>#REF!</v>
      </c>
      <c r="G459" s="34" t="str">
        <f t="shared" si="16"/>
        <v>#REF!</v>
      </c>
      <c r="H459" s="54" t="s">
        <v>21</v>
      </c>
      <c r="I459" s="81" t="s">
        <v>22</v>
      </c>
      <c r="J459" s="54" t="s">
        <v>20</v>
      </c>
      <c r="K459" s="42" t="s">
        <v>28</v>
      </c>
      <c r="L459" s="42" t="s">
        <v>1056</v>
      </c>
      <c r="M459" s="38">
        <v>29.0</v>
      </c>
      <c r="N459" s="42" t="s">
        <v>25</v>
      </c>
      <c r="O459" s="42" t="s">
        <v>86</v>
      </c>
      <c r="P459" s="43" t="s">
        <v>56</v>
      </c>
    </row>
    <row r="460">
      <c r="A460" s="51">
        <v>1428.0</v>
      </c>
      <c r="B460" s="51">
        <v>1428.0</v>
      </c>
      <c r="C460" s="34">
        <f>IFERROR(__xludf.DUMMYFUNCTION("if(B460&lt;=999,if(B460&lt;=99,IF(B460&lt;=9,join(,""000"",B460),join(,""00"",B460)),join(,""0"",B460)),B460)"),1428.0)</f>
        <v>1428</v>
      </c>
      <c r="D460" s="52" t="s">
        <v>1058</v>
      </c>
      <c r="E460" s="53" t="s">
        <v>20</v>
      </c>
      <c r="F460" s="34" t="str">
        <f t="shared" si="15"/>
        <v>#REF!</v>
      </c>
      <c r="G460" s="34" t="str">
        <f t="shared" si="16"/>
        <v>#REF!</v>
      </c>
      <c r="H460" s="54" t="s">
        <v>21</v>
      </c>
      <c r="I460" s="81" t="s">
        <v>34</v>
      </c>
      <c r="J460" s="54" t="s">
        <v>35</v>
      </c>
      <c r="K460" s="42"/>
      <c r="L460" s="42"/>
      <c r="M460" s="38">
        <v>1.0</v>
      </c>
      <c r="N460" s="42"/>
      <c r="O460" s="42"/>
      <c r="P460" s="43" t="s">
        <v>697</v>
      </c>
    </row>
    <row r="461">
      <c r="A461" s="51">
        <v>1153.0</v>
      </c>
      <c r="B461" s="51">
        <v>1153.0</v>
      </c>
      <c r="C461" s="34">
        <f>IFERROR(__xludf.DUMMYFUNCTION("if(B461&lt;=999,if(B461&lt;=99,IF(B461&lt;=9,join(,""000"",B461),join(,""00"",B461)),join(,""0"",B461)),B461)"),1153.0)</f>
        <v>1153</v>
      </c>
      <c r="D461" s="52" t="s">
        <v>1059</v>
      </c>
      <c r="E461" s="53" t="s">
        <v>20</v>
      </c>
      <c r="F461" s="34" t="str">
        <f t="shared" si="15"/>
        <v>#REF!</v>
      </c>
      <c r="G461" s="34" t="str">
        <f t="shared" si="16"/>
        <v>#REF!</v>
      </c>
      <c r="H461" s="54" t="s">
        <v>21</v>
      </c>
      <c r="I461" s="81" t="s">
        <v>34</v>
      </c>
      <c r="J461" s="54" t="s">
        <v>35</v>
      </c>
      <c r="K461" s="42"/>
      <c r="L461" s="42"/>
      <c r="M461" s="38">
        <v>16.0</v>
      </c>
      <c r="N461" s="42"/>
      <c r="O461" s="42"/>
      <c r="P461" s="43" t="s">
        <v>43</v>
      </c>
    </row>
    <row r="462">
      <c r="A462" s="51">
        <v>467.0</v>
      </c>
      <c r="B462" s="51">
        <v>467.0</v>
      </c>
      <c r="C462" s="34" t="str">
        <f>IFERROR(__xludf.DUMMYFUNCTION("if(B462&lt;=999,if(B462&lt;=99,IF(B462&lt;=9,join(,""000"",B462),join(,""00"",B462)),join(,""0"",B462)),B462)"),"0467")</f>
        <v>0467</v>
      </c>
      <c r="D462" s="52" t="s">
        <v>1060</v>
      </c>
      <c r="E462" s="53" t="s">
        <v>35</v>
      </c>
      <c r="F462" s="34" t="str">
        <f t="shared" si="15"/>
        <v>#REF!</v>
      </c>
      <c r="G462" s="34" t="str">
        <f t="shared" si="16"/>
        <v>#REF!</v>
      </c>
      <c r="H462" s="54" t="s">
        <v>21</v>
      </c>
      <c r="I462" s="81"/>
      <c r="J462" s="54"/>
      <c r="K462" s="42"/>
      <c r="L462" s="42"/>
      <c r="M462" s="38" t="e">
        <v>#N/A</v>
      </c>
      <c r="N462" s="42"/>
      <c r="O462" s="42"/>
      <c r="P462" s="43"/>
    </row>
    <row r="463">
      <c r="A463" s="45">
        <v>1371.0</v>
      </c>
      <c r="B463" s="45">
        <v>1371.0</v>
      </c>
      <c r="C463" s="45">
        <f>IFERROR(__xludf.DUMMYFUNCTION("if(B463&lt;=999,if(B463&lt;=99,IF(B463&lt;=9,join(,""000"",B463),join(,""00"",B463)),join(,""0"",B463)),B463)"),1371.0)</f>
        <v>1371</v>
      </c>
      <c r="D463" s="46" t="s">
        <v>1061</v>
      </c>
      <c r="E463" s="45" t="s">
        <v>20</v>
      </c>
      <c r="F463" s="45" t="str">
        <f t="shared" si="15"/>
        <v>#REF!</v>
      </c>
      <c r="G463" s="45" t="str">
        <f t="shared" si="16"/>
        <v>#REF!</v>
      </c>
      <c r="H463" s="47" t="s">
        <v>21</v>
      </c>
      <c r="I463" s="48" t="s">
        <v>22</v>
      </c>
      <c r="J463" s="47" t="s">
        <v>20</v>
      </c>
      <c r="K463" s="49" t="s">
        <v>95</v>
      </c>
      <c r="L463" s="47" t="s">
        <v>1062</v>
      </c>
      <c r="M463" s="49">
        <v>32.0</v>
      </c>
      <c r="N463" s="58" t="s">
        <v>25</v>
      </c>
      <c r="O463" s="58" t="s">
        <v>1063</v>
      </c>
      <c r="P463" s="50" t="s">
        <v>82</v>
      </c>
    </row>
    <row r="464">
      <c r="A464" s="51">
        <v>1325.0</v>
      </c>
      <c r="B464" s="51">
        <v>1325.0</v>
      </c>
      <c r="C464" s="34">
        <f>IFERROR(__xludf.DUMMYFUNCTION("if(B464&lt;=999,if(B464&lt;=99,IF(B464&lt;=9,join(,""000"",B464),join(,""00"",B464)),join(,""0"",B464)),B464)"),1325.0)</f>
        <v>1325</v>
      </c>
      <c r="D464" s="52" t="s">
        <v>1064</v>
      </c>
      <c r="E464" s="53" t="s">
        <v>20</v>
      </c>
      <c r="F464" s="34" t="str">
        <f t="shared" si="15"/>
        <v>#REF!</v>
      </c>
      <c r="G464" s="34" t="str">
        <f t="shared" si="16"/>
        <v>#REF!</v>
      </c>
      <c r="H464" s="54" t="s">
        <v>21</v>
      </c>
      <c r="I464" s="37" t="s">
        <v>22</v>
      </c>
      <c r="J464" s="54" t="s">
        <v>35</v>
      </c>
      <c r="K464" s="42"/>
      <c r="L464" s="42"/>
      <c r="M464" s="38" t="e">
        <v>#N/A</v>
      </c>
      <c r="N464" s="42"/>
      <c r="O464" s="42"/>
      <c r="P464" s="43" t="s">
        <v>1065</v>
      </c>
    </row>
    <row r="465">
      <c r="A465" s="51">
        <v>1027.0</v>
      </c>
      <c r="B465" s="51">
        <v>1027.0</v>
      </c>
      <c r="C465" s="34">
        <f>IFERROR(__xludf.DUMMYFUNCTION("if(B465&lt;=999,if(B465&lt;=99,IF(B465&lt;=9,join(,""000"",B465),join(,""00"",B465)),join(,""0"",B465)),B465)"),1027.0)</f>
        <v>1027</v>
      </c>
      <c r="D465" s="52" t="s">
        <v>1066</v>
      </c>
      <c r="E465" s="53" t="s">
        <v>35</v>
      </c>
      <c r="F465" s="34" t="str">
        <f t="shared" si="15"/>
        <v>#REF!</v>
      </c>
      <c r="G465" s="34" t="str">
        <f t="shared" si="16"/>
        <v>#REF!</v>
      </c>
      <c r="H465" s="54" t="s">
        <v>21</v>
      </c>
      <c r="I465" s="81"/>
      <c r="J465" s="54"/>
      <c r="K465" s="42"/>
      <c r="L465" s="42"/>
      <c r="M465" s="38" t="e">
        <v>#N/A</v>
      </c>
      <c r="N465" s="42"/>
      <c r="O465" s="42"/>
      <c r="P465" s="43"/>
    </row>
    <row r="466">
      <c r="A466" s="51">
        <v>531.0</v>
      </c>
      <c r="B466" s="51">
        <v>531.0</v>
      </c>
      <c r="C466" s="34" t="str">
        <f>IFERROR(__xludf.DUMMYFUNCTION("if(B466&lt;=999,if(B466&lt;=99,IF(B466&lt;=9,join(,""000"",B466),join(,""00"",B466)),join(,""0"",B466)),B466)"),"0531")</f>
        <v>0531</v>
      </c>
      <c r="D466" s="52" t="s">
        <v>1067</v>
      </c>
      <c r="E466" s="53" t="s">
        <v>20</v>
      </c>
      <c r="F466" s="34" t="str">
        <f t="shared" si="15"/>
        <v>#REF!</v>
      </c>
      <c r="G466" s="34" t="str">
        <f t="shared" si="16"/>
        <v>#REF!</v>
      </c>
      <c r="H466" s="54" t="s">
        <v>21</v>
      </c>
      <c r="I466" s="81" t="s">
        <v>101</v>
      </c>
      <c r="J466" s="54" t="s">
        <v>35</v>
      </c>
      <c r="K466" s="42"/>
      <c r="L466" s="42"/>
      <c r="M466" s="38">
        <v>8.0812374E7</v>
      </c>
      <c r="N466" s="42"/>
      <c r="O466" s="42"/>
      <c r="P466" s="43" t="s">
        <v>61</v>
      </c>
    </row>
    <row r="467">
      <c r="A467" s="51">
        <v>674.0</v>
      </c>
      <c r="B467" s="51">
        <v>674.0</v>
      </c>
      <c r="C467" s="34" t="str">
        <f>IFERROR(__xludf.DUMMYFUNCTION("if(B467&lt;=999,if(B467&lt;=99,IF(B467&lt;=9,join(,""000"",B467),join(,""00"",B467)),join(,""0"",B467)),B467)"),"0674")</f>
        <v>0674</v>
      </c>
      <c r="D467" s="52" t="s">
        <v>1068</v>
      </c>
      <c r="E467" s="53" t="s">
        <v>20</v>
      </c>
      <c r="F467" s="34" t="str">
        <f t="shared" si="15"/>
        <v>#REF!</v>
      </c>
      <c r="G467" s="34" t="str">
        <f t="shared" si="16"/>
        <v>#REF!</v>
      </c>
      <c r="H467" s="54" t="s">
        <v>21</v>
      </c>
      <c r="I467" s="81" t="s">
        <v>34</v>
      </c>
      <c r="J467" s="54" t="s">
        <v>35</v>
      </c>
      <c r="K467" s="42"/>
      <c r="L467" s="42"/>
      <c r="M467" s="38" t="s">
        <v>717</v>
      </c>
      <c r="N467" s="42"/>
      <c r="O467" s="42"/>
      <c r="P467" s="43" t="s">
        <v>795</v>
      </c>
    </row>
    <row r="468">
      <c r="A468" s="51">
        <v>1117.0</v>
      </c>
      <c r="B468" s="51">
        <v>1117.0</v>
      </c>
      <c r="C468" s="34">
        <f>IFERROR(__xludf.DUMMYFUNCTION("if(B468&lt;=999,if(B468&lt;=99,IF(B468&lt;=9,join(,""000"",B468),join(,""00"",B468)),join(,""0"",B468)),B468)"),1117.0)</f>
        <v>1117</v>
      </c>
      <c r="D468" s="52" t="s">
        <v>1069</v>
      </c>
      <c r="E468" s="53" t="s">
        <v>20</v>
      </c>
      <c r="F468" s="34" t="str">
        <f t="shared" si="15"/>
        <v>#REF!</v>
      </c>
      <c r="G468" s="34" t="str">
        <f t="shared" si="16"/>
        <v>#REF!</v>
      </c>
      <c r="H468" s="54" t="s">
        <v>21</v>
      </c>
      <c r="I468" s="81" t="s">
        <v>77</v>
      </c>
      <c r="J468" s="54" t="s">
        <v>35</v>
      </c>
      <c r="K468" s="42"/>
      <c r="L468" s="42"/>
      <c r="M468" s="38" t="s">
        <v>1013</v>
      </c>
      <c r="N468" s="42"/>
      <c r="O468" s="42"/>
      <c r="P468" s="43"/>
    </row>
    <row r="469">
      <c r="A469" s="51">
        <v>828.0</v>
      </c>
      <c r="B469" s="51">
        <v>828.0</v>
      </c>
      <c r="C469" s="34" t="str">
        <f>IFERROR(__xludf.DUMMYFUNCTION("if(B469&lt;=999,if(B469&lt;=99,IF(B469&lt;=9,join(,""000"",B469),join(,""00"",B469)),join(,""0"",B469)),B469)"),"0828")</f>
        <v>0828</v>
      </c>
      <c r="D469" s="52" t="s">
        <v>1070</v>
      </c>
      <c r="E469" s="53" t="s">
        <v>20</v>
      </c>
      <c r="F469" s="34" t="str">
        <f t="shared" si="15"/>
        <v>#REF!</v>
      </c>
      <c r="G469" s="34" t="str">
        <f t="shared" si="16"/>
        <v>#REF!</v>
      </c>
      <c r="H469" s="54" t="s">
        <v>21</v>
      </c>
      <c r="I469" s="81" t="s">
        <v>77</v>
      </c>
      <c r="J469" s="54" t="s">
        <v>35</v>
      </c>
      <c r="K469" s="42"/>
      <c r="L469" s="42"/>
      <c r="M469" s="38" t="s">
        <v>717</v>
      </c>
      <c r="N469" s="42"/>
      <c r="O469" s="42"/>
      <c r="P469" s="43" t="s">
        <v>795</v>
      </c>
    </row>
    <row r="470">
      <c r="A470" s="33">
        <v>52.0</v>
      </c>
      <c r="B470" s="34">
        <v>52.0</v>
      </c>
      <c r="C470" s="34" t="str">
        <f>IFERROR(__xludf.DUMMYFUNCTION("if(B470&lt;=999,if(B470&lt;=99,IF(B470&lt;=9,join(,""000"",B470),join(,""00"",B470)),join(,""0"",B470)),B470)"),"0052")</f>
        <v>0052</v>
      </c>
      <c r="D470" s="35" t="s">
        <v>1071</v>
      </c>
      <c r="E470" s="34" t="s">
        <v>20</v>
      </c>
      <c r="F470" s="34" t="str">
        <f t="shared" si="15"/>
        <v>#REF!</v>
      </c>
      <c r="G470" s="34" t="str">
        <f t="shared" si="16"/>
        <v>#REF!</v>
      </c>
      <c r="H470" s="36" t="s">
        <v>21</v>
      </c>
      <c r="I470" s="37" t="s">
        <v>22</v>
      </c>
      <c r="J470" s="36" t="s">
        <v>35</v>
      </c>
      <c r="K470" s="38"/>
      <c r="L470" s="42"/>
      <c r="M470" s="38" t="e">
        <v>#N/A</v>
      </c>
      <c r="N470" s="38"/>
      <c r="O470" s="38"/>
      <c r="P470" s="39" t="s">
        <v>154</v>
      </c>
    </row>
    <row r="471">
      <c r="A471" s="51">
        <v>33.0</v>
      </c>
      <c r="B471" s="51">
        <v>33.0</v>
      </c>
      <c r="C471" s="34" t="str">
        <f>IFERROR(__xludf.DUMMYFUNCTION("if(B471&lt;=999,if(B471&lt;=99,IF(B471&lt;=9,join(,""000"",B471),join(,""00"",B471)),join(,""0"",B471)),B471)"),"0033")</f>
        <v>0033</v>
      </c>
      <c r="D471" s="52" t="s">
        <v>1072</v>
      </c>
      <c r="E471" s="53" t="s">
        <v>20</v>
      </c>
      <c r="F471" s="34" t="str">
        <f t="shared" si="15"/>
        <v>#REF!</v>
      </c>
      <c r="G471" s="34" t="str">
        <f t="shared" si="16"/>
        <v>#REF!</v>
      </c>
      <c r="H471" s="54" t="s">
        <v>21</v>
      </c>
      <c r="I471" s="81" t="s">
        <v>77</v>
      </c>
      <c r="J471" s="54"/>
      <c r="K471" s="42"/>
      <c r="L471" s="42"/>
      <c r="M471" s="38">
        <v>8000.0</v>
      </c>
      <c r="N471" s="42"/>
      <c r="O471" s="42"/>
      <c r="P471" s="43"/>
    </row>
    <row r="472">
      <c r="A472" s="51">
        <v>1014.0</v>
      </c>
      <c r="B472" s="51">
        <v>1014.0</v>
      </c>
      <c r="C472" s="34">
        <f>IFERROR(__xludf.DUMMYFUNCTION("if(B472&lt;=999,if(B472&lt;=99,IF(B472&lt;=9,join(,""000"",B472),join(,""00"",B472)),join(,""0"",B472)),B472)"),1014.0)</f>
        <v>1014</v>
      </c>
      <c r="D472" s="52" t="s">
        <v>1073</v>
      </c>
      <c r="E472" s="53" t="s">
        <v>20</v>
      </c>
      <c r="F472" s="34" t="str">
        <f t="shared" si="15"/>
        <v>#REF!</v>
      </c>
      <c r="G472" s="34" t="str">
        <f t="shared" si="16"/>
        <v>#REF!</v>
      </c>
      <c r="H472" s="54" t="s">
        <v>21</v>
      </c>
      <c r="I472" s="81" t="s">
        <v>77</v>
      </c>
      <c r="J472" s="36" t="s">
        <v>35</v>
      </c>
      <c r="K472" s="42"/>
      <c r="L472" s="42"/>
      <c r="M472" s="38" t="e">
        <v>#N/A</v>
      </c>
      <c r="N472" s="42"/>
      <c r="O472" s="42"/>
      <c r="P472" s="43" t="s">
        <v>70</v>
      </c>
    </row>
    <row r="473">
      <c r="A473" s="33">
        <v>1183.0</v>
      </c>
      <c r="B473" s="34">
        <v>1183.0</v>
      </c>
      <c r="C473" s="34">
        <f>IFERROR(__xludf.DUMMYFUNCTION("if(B473&lt;=999,if(B473&lt;=99,IF(B473&lt;=9,join(,""000"",B473),join(,""00"",B473)),join(,""0"",B473)),B473)"),1183.0)</f>
        <v>1183</v>
      </c>
      <c r="D473" s="35" t="s">
        <v>1074</v>
      </c>
      <c r="E473" s="34" t="s">
        <v>20</v>
      </c>
      <c r="F473" s="34" t="str">
        <f t="shared" si="15"/>
        <v>#REF!</v>
      </c>
      <c r="G473" s="34" t="str">
        <f t="shared" si="16"/>
        <v>#REF!</v>
      </c>
      <c r="H473" s="36" t="s">
        <v>21</v>
      </c>
      <c r="I473" s="37" t="s">
        <v>77</v>
      </c>
      <c r="J473" s="36" t="s">
        <v>35</v>
      </c>
      <c r="K473" s="38" t="s">
        <v>28</v>
      </c>
      <c r="L473" s="36" t="s">
        <v>1075</v>
      </c>
      <c r="M473" s="38">
        <v>5.0</v>
      </c>
      <c r="N473" s="62" t="s">
        <v>25</v>
      </c>
      <c r="O473" s="62" t="s">
        <v>1076</v>
      </c>
      <c r="P473" s="39" t="s">
        <v>61</v>
      </c>
    </row>
    <row r="474">
      <c r="A474" s="51">
        <v>534.0</v>
      </c>
      <c r="B474" s="51">
        <v>534.0</v>
      </c>
      <c r="C474" s="34" t="str">
        <f>IFERROR(__xludf.DUMMYFUNCTION("if(B474&lt;=999,if(B474&lt;=99,IF(B474&lt;=9,join(,""000"",B474),join(,""00"",B474)),join(,""0"",B474)),B474)"),"0534")</f>
        <v>0534</v>
      </c>
      <c r="D474" s="52" t="s">
        <v>1077</v>
      </c>
      <c r="E474" s="53" t="s">
        <v>35</v>
      </c>
      <c r="F474" s="34" t="str">
        <f t="shared" si="15"/>
        <v>#REF!</v>
      </c>
      <c r="G474" s="34" t="str">
        <f t="shared" si="16"/>
        <v>#REF!</v>
      </c>
      <c r="H474" s="54" t="s">
        <v>21</v>
      </c>
      <c r="I474" s="81"/>
      <c r="J474" s="54"/>
      <c r="K474" s="42"/>
      <c r="L474" s="42"/>
      <c r="M474" s="38" t="e">
        <v>#N/A</v>
      </c>
      <c r="N474" s="42"/>
      <c r="O474" s="42"/>
      <c r="P474" s="43"/>
    </row>
    <row r="475">
      <c r="A475" s="51">
        <v>1366.0</v>
      </c>
      <c r="B475" s="51">
        <v>1366.0</v>
      </c>
      <c r="C475" s="34">
        <f>IFERROR(__xludf.DUMMYFUNCTION("if(B475&lt;=999,if(B475&lt;=99,IF(B475&lt;=9,join(,""000"",B475),join(,""00"",B475)),join(,""0"",B475)),B475)"),1366.0)</f>
        <v>1366</v>
      </c>
      <c r="D475" s="52" t="s">
        <v>1078</v>
      </c>
      <c r="E475" s="53" t="s">
        <v>20</v>
      </c>
      <c r="F475" s="34" t="str">
        <f t="shared" si="15"/>
        <v>#REF!</v>
      </c>
      <c r="G475" s="34" t="str">
        <f t="shared" si="16"/>
        <v>#REF!</v>
      </c>
      <c r="H475" s="54" t="s">
        <v>21</v>
      </c>
      <c r="I475" s="81" t="s">
        <v>77</v>
      </c>
      <c r="J475" s="54" t="s">
        <v>35</v>
      </c>
      <c r="K475" s="42"/>
      <c r="L475" s="42"/>
      <c r="M475" s="38" t="s">
        <v>550</v>
      </c>
      <c r="N475" s="42"/>
      <c r="O475" s="42"/>
      <c r="P475" s="43" t="s">
        <v>46</v>
      </c>
    </row>
    <row r="476">
      <c r="A476" s="51">
        <v>1370.0</v>
      </c>
      <c r="B476" s="51">
        <v>1370.0</v>
      </c>
      <c r="C476" s="34">
        <f>IFERROR(__xludf.DUMMYFUNCTION("if(B476&lt;=999,if(B476&lt;=99,IF(B476&lt;=9,join(,""000"",B476),join(,""00"",B476)),join(,""0"",B476)),B476)"),1370.0)</f>
        <v>1370</v>
      </c>
      <c r="D476" s="52" t="s">
        <v>1079</v>
      </c>
      <c r="E476" s="53" t="s">
        <v>20</v>
      </c>
      <c r="F476" s="34" t="str">
        <f t="shared" si="15"/>
        <v>#REF!</v>
      </c>
      <c r="G476" s="34" t="str">
        <f t="shared" si="16"/>
        <v>#REF!</v>
      </c>
      <c r="H476" s="54" t="s">
        <v>21</v>
      </c>
      <c r="I476" s="81" t="s">
        <v>22</v>
      </c>
      <c r="J476" s="54" t="s">
        <v>35</v>
      </c>
      <c r="K476" s="42"/>
      <c r="L476" s="42"/>
      <c r="M476" s="38">
        <v>6.0</v>
      </c>
      <c r="N476" s="42"/>
      <c r="O476" s="42"/>
      <c r="P476" s="43" t="s">
        <v>87</v>
      </c>
    </row>
    <row r="477">
      <c r="A477" s="51">
        <v>1017.0</v>
      </c>
      <c r="B477" s="51">
        <v>1017.0</v>
      </c>
      <c r="C477" s="34">
        <f>IFERROR(__xludf.DUMMYFUNCTION("if(B477&lt;=999,if(B477&lt;=99,IF(B477&lt;=9,join(,""000"",B477),join(,""00"",B477)),join(,""0"",B477)),B477)"),1017.0)</f>
        <v>1017</v>
      </c>
      <c r="D477" s="52" t="s">
        <v>1080</v>
      </c>
      <c r="E477" s="53" t="s">
        <v>20</v>
      </c>
      <c r="F477" s="34" t="str">
        <f t="shared" si="15"/>
        <v>#REF!</v>
      </c>
      <c r="G477" s="34" t="str">
        <f t="shared" si="16"/>
        <v>#REF!</v>
      </c>
      <c r="H477" s="54" t="s">
        <v>21</v>
      </c>
      <c r="I477" s="37" t="s">
        <v>22</v>
      </c>
      <c r="J477" s="54" t="s">
        <v>35</v>
      </c>
      <c r="K477" s="42"/>
      <c r="L477" s="42"/>
      <c r="M477" s="38" t="s">
        <v>244</v>
      </c>
      <c r="N477" s="42"/>
      <c r="O477" s="42"/>
      <c r="P477" s="43" t="s">
        <v>43</v>
      </c>
    </row>
    <row r="478">
      <c r="A478" s="51">
        <v>669.0</v>
      </c>
      <c r="B478" s="51">
        <v>669.0</v>
      </c>
      <c r="C478" s="34" t="str">
        <f>IFERROR(__xludf.DUMMYFUNCTION("if(B478&lt;=999,if(B478&lt;=99,IF(B478&lt;=9,join(,""000"",B478),join(,""00"",B478)),join(,""0"",B478)),B478)"),"0669")</f>
        <v>0669</v>
      </c>
      <c r="D478" s="52" t="s">
        <v>1081</v>
      </c>
      <c r="E478" s="53" t="s">
        <v>20</v>
      </c>
      <c r="F478" s="34" t="str">
        <f t="shared" si="15"/>
        <v>#REF!</v>
      </c>
      <c r="G478" s="34" t="str">
        <f t="shared" si="16"/>
        <v>#REF!</v>
      </c>
      <c r="H478" s="54" t="s">
        <v>21</v>
      </c>
      <c r="I478" s="37" t="s">
        <v>101</v>
      </c>
      <c r="J478" s="54" t="s">
        <v>35</v>
      </c>
      <c r="K478" s="42" t="s">
        <v>1082</v>
      </c>
      <c r="L478" s="36" t="s">
        <v>368</v>
      </c>
      <c r="M478" s="38" t="s">
        <v>1083</v>
      </c>
      <c r="N478" s="62" t="s">
        <v>1084</v>
      </c>
      <c r="O478" s="62" t="s">
        <v>1085</v>
      </c>
      <c r="P478" s="43" t="s">
        <v>1086</v>
      </c>
    </row>
    <row r="479">
      <c r="A479" s="51">
        <v>163.0</v>
      </c>
      <c r="B479" s="51">
        <v>163.0</v>
      </c>
      <c r="C479" s="34" t="str">
        <f>IFERROR(__xludf.DUMMYFUNCTION("if(B479&lt;=999,if(B479&lt;=99,IF(B479&lt;=9,join(,""000"",B479),join(,""00"",B479)),join(,""0"",B479)),B479)"),"0163")</f>
        <v>0163</v>
      </c>
      <c r="D479" s="52" t="s">
        <v>1087</v>
      </c>
      <c r="E479" s="53" t="s">
        <v>20</v>
      </c>
      <c r="F479" s="34" t="str">
        <f t="shared" si="15"/>
        <v>#REF!</v>
      </c>
      <c r="G479" s="34" t="str">
        <f t="shared" si="16"/>
        <v>#REF!</v>
      </c>
      <c r="H479" s="54" t="s">
        <v>21</v>
      </c>
      <c r="I479" s="81" t="s">
        <v>73</v>
      </c>
      <c r="J479" s="54" t="s">
        <v>20</v>
      </c>
      <c r="K479" s="42" t="s">
        <v>1082</v>
      </c>
      <c r="L479" s="42" t="s">
        <v>1088</v>
      </c>
      <c r="M479" s="38">
        <v>8.0</v>
      </c>
      <c r="N479" s="42" t="s">
        <v>25</v>
      </c>
      <c r="O479" s="42" t="s">
        <v>785</v>
      </c>
      <c r="P479" s="43" t="s">
        <v>56</v>
      </c>
    </row>
    <row r="480">
      <c r="A480" s="33">
        <v>640.0</v>
      </c>
      <c r="B480" s="34">
        <v>640.0</v>
      </c>
      <c r="C480" s="34" t="str">
        <f>IFERROR(__xludf.DUMMYFUNCTION("if(B480&lt;=999,if(B480&lt;=99,IF(B480&lt;=9,join(,""000"",B480),join(,""00"",B480)),join(,""0"",B480)),B480)"),"0640")</f>
        <v>0640</v>
      </c>
      <c r="D480" s="35" t="s">
        <v>1089</v>
      </c>
      <c r="E480" s="34" t="s">
        <v>20</v>
      </c>
      <c r="F480" s="34" t="str">
        <f t="shared" si="15"/>
        <v>#REF!</v>
      </c>
      <c r="G480" s="34" t="str">
        <f t="shared" si="16"/>
        <v>#REF!</v>
      </c>
      <c r="H480" s="36" t="s">
        <v>21</v>
      </c>
      <c r="I480" s="37"/>
      <c r="J480" s="36"/>
      <c r="K480" s="38"/>
      <c r="L480" s="42"/>
      <c r="M480" s="38">
        <v>8000.0</v>
      </c>
      <c r="N480" s="38"/>
      <c r="O480" s="38"/>
      <c r="P480" s="39"/>
    </row>
    <row r="481">
      <c r="A481" s="51">
        <v>1432.0</v>
      </c>
      <c r="B481" s="51">
        <v>1432.0</v>
      </c>
      <c r="C481" s="34">
        <f>IFERROR(__xludf.DUMMYFUNCTION("if(B481&lt;=999,if(B481&lt;=99,IF(B481&lt;=9,join(,""000"",B481),join(,""00"",B481)),join(,""0"",B481)),B481)"),1432.0)</f>
        <v>1432</v>
      </c>
      <c r="D481" s="52" t="s">
        <v>1090</v>
      </c>
      <c r="E481" s="53" t="s">
        <v>20</v>
      </c>
      <c r="F481" s="34" t="str">
        <f t="shared" si="15"/>
        <v>#REF!</v>
      </c>
      <c r="G481" s="34" t="str">
        <f t="shared" si="16"/>
        <v>#REF!</v>
      </c>
      <c r="H481" s="54" t="s">
        <v>21</v>
      </c>
      <c r="I481" s="81" t="s">
        <v>34</v>
      </c>
      <c r="J481" s="54" t="s">
        <v>35</v>
      </c>
      <c r="K481" s="42"/>
      <c r="L481" s="42"/>
      <c r="M481" s="38" t="s">
        <v>1091</v>
      </c>
      <c r="N481" s="42"/>
      <c r="O481" s="42"/>
      <c r="P481" s="43" t="s">
        <v>43</v>
      </c>
    </row>
    <row r="482">
      <c r="A482" s="51">
        <v>1101.0</v>
      </c>
      <c r="B482" s="51">
        <v>1101.0</v>
      </c>
      <c r="C482" s="34">
        <f>IFERROR(__xludf.DUMMYFUNCTION("if(B482&lt;=999,if(B482&lt;=99,IF(B482&lt;=9,join(,""000"",B482),join(,""00"",B482)),join(,""0"",B482)),B482)"),1101.0)</f>
        <v>1101</v>
      </c>
      <c r="D482" s="52" t="s">
        <v>1092</v>
      </c>
      <c r="E482" s="53" t="s">
        <v>20</v>
      </c>
      <c r="F482" s="34" t="str">
        <f t="shared" si="15"/>
        <v>#REF!</v>
      </c>
      <c r="G482" s="34" t="str">
        <f t="shared" si="16"/>
        <v>#REF!</v>
      </c>
      <c r="H482" s="54" t="s">
        <v>21</v>
      </c>
      <c r="I482" s="37" t="s">
        <v>22</v>
      </c>
      <c r="J482" s="54" t="s">
        <v>35</v>
      </c>
      <c r="K482" s="42"/>
      <c r="L482" s="42"/>
      <c r="M482" s="38">
        <v>16.0</v>
      </c>
      <c r="N482" s="42"/>
      <c r="O482" s="42"/>
      <c r="P482" s="43" t="s">
        <v>43</v>
      </c>
    </row>
    <row r="483">
      <c r="A483" s="51">
        <v>1095.0</v>
      </c>
      <c r="B483" s="51">
        <v>1095.0</v>
      </c>
      <c r="C483" s="34">
        <f>IFERROR(__xludf.DUMMYFUNCTION("if(B483&lt;=999,if(B483&lt;=99,IF(B483&lt;=9,join(,""000"",B483),join(,""00"",B483)),join(,""0"",B483)),B483)"),1095.0)</f>
        <v>1095</v>
      </c>
      <c r="D483" s="52" t="s">
        <v>1093</v>
      </c>
      <c r="E483" s="53" t="s">
        <v>20</v>
      </c>
      <c r="F483" s="34" t="str">
        <f t="shared" si="15"/>
        <v>#REF!</v>
      </c>
      <c r="G483" s="34" t="str">
        <f t="shared" si="16"/>
        <v>#REF!</v>
      </c>
      <c r="H483" s="54" t="s">
        <v>21</v>
      </c>
      <c r="I483" s="37" t="s">
        <v>22</v>
      </c>
      <c r="J483" s="54" t="s">
        <v>35</v>
      </c>
      <c r="K483" s="42"/>
      <c r="L483" s="42"/>
      <c r="M483" s="38" t="e">
        <v>#N/A</v>
      </c>
      <c r="N483" s="42"/>
      <c r="O483" s="42"/>
      <c r="P483" s="43" t="s">
        <v>43</v>
      </c>
    </row>
    <row r="484">
      <c r="A484" s="33">
        <v>1295.0</v>
      </c>
      <c r="B484" s="34">
        <v>1295.0</v>
      </c>
      <c r="C484" s="34">
        <f>IFERROR(__xludf.DUMMYFUNCTION("if(B484&lt;=999,if(B484&lt;=99,IF(B484&lt;=9,join(,""000"",B484),join(,""00"",B484)),join(,""0"",B484)),B484)"),1295.0)</f>
        <v>1295</v>
      </c>
      <c r="D484" s="35" t="s">
        <v>1094</v>
      </c>
      <c r="E484" s="34" t="s">
        <v>20</v>
      </c>
      <c r="F484" s="34" t="str">
        <f t="shared" si="15"/>
        <v>#REF!</v>
      </c>
      <c r="G484" s="34" t="str">
        <f t="shared" si="16"/>
        <v>#REF!</v>
      </c>
      <c r="H484" s="36" t="s">
        <v>21</v>
      </c>
      <c r="I484" s="37" t="s">
        <v>22</v>
      </c>
      <c r="J484" s="36" t="s">
        <v>35</v>
      </c>
      <c r="K484" s="38"/>
      <c r="L484" s="42"/>
      <c r="M484" s="38" t="e">
        <v>#N/A</v>
      </c>
      <c r="N484" s="38"/>
      <c r="O484" s="38"/>
      <c r="P484" s="39" t="s">
        <v>43</v>
      </c>
    </row>
    <row r="485">
      <c r="A485" s="51">
        <v>671.0</v>
      </c>
      <c r="B485" s="51">
        <v>671.0</v>
      </c>
      <c r="C485" s="34" t="str">
        <f>IFERROR(__xludf.DUMMYFUNCTION("if(B485&lt;=999,if(B485&lt;=99,IF(B485&lt;=9,join(,""000"",B485),join(,""00"",B485)),join(,""0"",B485)),B485)"),"0671")</f>
        <v>0671</v>
      </c>
      <c r="D485" s="52" t="s">
        <v>1095</v>
      </c>
      <c r="E485" s="53" t="s">
        <v>20</v>
      </c>
      <c r="F485" s="34" t="str">
        <f t="shared" si="15"/>
        <v>#REF!</v>
      </c>
      <c r="G485" s="34" t="str">
        <f t="shared" si="16"/>
        <v>#REF!</v>
      </c>
      <c r="H485" s="54" t="s">
        <v>21</v>
      </c>
      <c r="I485" s="37" t="s">
        <v>22</v>
      </c>
      <c r="J485" s="54" t="s">
        <v>35</v>
      </c>
      <c r="K485" s="42"/>
      <c r="L485" s="42"/>
      <c r="M485" s="38">
        <v>37777.0</v>
      </c>
      <c r="N485" s="42"/>
      <c r="O485" s="42"/>
      <c r="P485" s="43" t="s">
        <v>106</v>
      </c>
    </row>
    <row r="486">
      <c r="A486" s="51">
        <v>944.0</v>
      </c>
      <c r="B486" s="51">
        <v>944.0</v>
      </c>
      <c r="C486" s="34" t="str">
        <f>IFERROR(__xludf.DUMMYFUNCTION("if(B486&lt;=999,if(B486&lt;=99,IF(B486&lt;=9,join(,""000"",B486),join(,""00"",B486)),join(,""0"",B486)),B486)"),"0944")</f>
        <v>0944</v>
      </c>
      <c r="D486" s="52" t="s">
        <v>1096</v>
      </c>
      <c r="E486" s="53" t="s">
        <v>20</v>
      </c>
      <c r="F486" s="34" t="str">
        <f t="shared" si="15"/>
        <v>#REF!</v>
      </c>
      <c r="G486" s="34" t="str">
        <f t="shared" si="16"/>
        <v>#REF!</v>
      </c>
      <c r="H486" s="54" t="s">
        <v>21</v>
      </c>
      <c r="I486" s="37" t="s">
        <v>22</v>
      </c>
      <c r="J486" s="54" t="s">
        <v>35</v>
      </c>
      <c r="K486" s="42"/>
      <c r="L486" s="42"/>
      <c r="M486" s="38">
        <v>37777.0</v>
      </c>
      <c r="N486" s="42"/>
      <c r="O486" s="42"/>
      <c r="P486" s="43" t="s">
        <v>1097</v>
      </c>
    </row>
    <row r="487">
      <c r="A487" s="51">
        <v>1427.0</v>
      </c>
      <c r="B487" s="51">
        <v>1427.0</v>
      </c>
      <c r="C487" s="34">
        <f>IFERROR(__xludf.DUMMYFUNCTION("if(B487&lt;=999,if(B487&lt;=99,IF(B487&lt;=9,join(,""000"",B487),join(,""00"",B487)),join(,""0"",B487)),B487)"),1427.0)</f>
        <v>1427</v>
      </c>
      <c r="D487" s="52" t="s">
        <v>1098</v>
      </c>
      <c r="E487" s="34" t="s">
        <v>20</v>
      </c>
      <c r="F487" s="34" t="str">
        <f t="shared" si="15"/>
        <v>#REF!</v>
      </c>
      <c r="G487" s="34" t="str">
        <f t="shared" si="16"/>
        <v>#REF!</v>
      </c>
      <c r="H487" s="54" t="s">
        <v>21</v>
      </c>
      <c r="I487" s="37" t="s">
        <v>77</v>
      </c>
      <c r="J487" s="54" t="s">
        <v>20</v>
      </c>
      <c r="K487" s="63" t="s">
        <v>1099</v>
      </c>
      <c r="L487" s="63" t="s">
        <v>1100</v>
      </c>
      <c r="M487" s="38" t="s">
        <v>1101</v>
      </c>
      <c r="N487" s="63" t="s">
        <v>25</v>
      </c>
      <c r="O487" s="63" t="s">
        <v>86</v>
      </c>
      <c r="P487" s="63" t="s">
        <v>56</v>
      </c>
    </row>
    <row r="488">
      <c r="A488" s="51">
        <v>1230.0</v>
      </c>
      <c r="B488" s="51">
        <v>1230.0</v>
      </c>
      <c r="C488" s="34">
        <f>IFERROR(__xludf.DUMMYFUNCTION("if(B488&lt;=999,if(B488&lt;=99,IF(B488&lt;=9,join(,""000"",B488),join(,""00"",B488)),join(,""0"",B488)),B488)"),1230.0)</f>
        <v>1230</v>
      </c>
      <c r="D488" s="52" t="s">
        <v>1102</v>
      </c>
      <c r="E488" s="53" t="s">
        <v>20</v>
      </c>
      <c r="F488" s="34" t="str">
        <f t="shared" si="15"/>
        <v>#REF!</v>
      </c>
      <c r="G488" s="34" t="str">
        <f t="shared" si="16"/>
        <v>#REF!</v>
      </c>
      <c r="H488" s="54" t="s">
        <v>21</v>
      </c>
      <c r="I488" s="81" t="s">
        <v>77</v>
      </c>
      <c r="J488" s="54"/>
      <c r="K488" s="42"/>
      <c r="L488" s="42"/>
      <c r="M488" s="38">
        <v>443.0</v>
      </c>
      <c r="N488" s="42"/>
      <c r="O488" s="42"/>
      <c r="P488" s="43" t="s">
        <v>46</v>
      </c>
    </row>
    <row r="489">
      <c r="A489" s="51">
        <v>238.0</v>
      </c>
      <c r="B489" s="51">
        <v>238.0</v>
      </c>
      <c r="C489" s="34" t="str">
        <f>IFERROR(__xludf.DUMMYFUNCTION("if(B489&lt;=999,if(B489&lt;=99,IF(B489&lt;=9,join(,""000"",B489),join(,""00"",B489)),join(,""0"",B489)),B489)"),"0238")</f>
        <v>0238</v>
      </c>
      <c r="D489" s="52" t="s">
        <v>1103</v>
      </c>
      <c r="E489" s="53" t="s">
        <v>20</v>
      </c>
      <c r="F489" s="34" t="str">
        <f t="shared" si="15"/>
        <v>#REF!</v>
      </c>
      <c r="G489" s="34" t="str">
        <f t="shared" si="16"/>
        <v>#REF!</v>
      </c>
      <c r="H489" s="54" t="s">
        <v>21</v>
      </c>
      <c r="I489" s="81" t="s">
        <v>99</v>
      </c>
      <c r="J489" s="54" t="s">
        <v>35</v>
      </c>
      <c r="K489" s="42" t="s">
        <v>95</v>
      </c>
      <c r="L489" s="36" t="s">
        <v>1104</v>
      </c>
      <c r="M489" s="38">
        <v>8.0</v>
      </c>
      <c r="N489" s="62" t="s">
        <v>25</v>
      </c>
      <c r="O489" s="62">
        <v>123456.0</v>
      </c>
      <c r="P489" s="43" t="s">
        <v>1105</v>
      </c>
    </row>
    <row r="490">
      <c r="A490" s="51">
        <v>1133.0</v>
      </c>
      <c r="B490" s="51">
        <v>1133.0</v>
      </c>
      <c r="C490" s="34">
        <f>IFERROR(__xludf.DUMMYFUNCTION("if(B490&lt;=999,if(B490&lt;=99,IF(B490&lt;=9,join(,""000"",B490),join(,""00"",B490)),join(,""0"",B490)),B490)"),1133.0)</f>
        <v>1133</v>
      </c>
      <c r="D490" s="52" t="s">
        <v>1106</v>
      </c>
      <c r="E490" s="53" t="s">
        <v>20</v>
      </c>
      <c r="F490" s="34" t="str">
        <f t="shared" si="15"/>
        <v>#REF!</v>
      </c>
      <c r="G490" s="34" t="str">
        <f t="shared" si="16"/>
        <v>#REF!</v>
      </c>
      <c r="H490" s="54" t="s">
        <v>21</v>
      </c>
      <c r="I490" s="37" t="s">
        <v>73</v>
      </c>
      <c r="J490" s="54" t="s">
        <v>20</v>
      </c>
      <c r="K490" s="42" t="s">
        <v>95</v>
      </c>
      <c r="L490" s="42" t="s">
        <v>1107</v>
      </c>
      <c r="M490" s="38">
        <v>25001.0</v>
      </c>
      <c r="N490" s="42" t="s">
        <v>25</v>
      </c>
      <c r="O490" s="42" t="s">
        <v>1108</v>
      </c>
      <c r="P490" s="43" t="s">
        <v>97</v>
      </c>
    </row>
    <row r="491">
      <c r="A491" s="55">
        <v>228.0</v>
      </c>
      <c r="B491" s="55">
        <v>228.0</v>
      </c>
      <c r="C491" s="45" t="str">
        <f>IFERROR(__xludf.DUMMYFUNCTION("if(B491&lt;=999,if(B491&lt;=99,IF(B491&lt;=9,join(,""000"",B491),join(,""00"",B491)),join(,""0"",B491)),B491)"),"0228")</f>
        <v>0228</v>
      </c>
      <c r="D491" s="56" t="s">
        <v>1109</v>
      </c>
      <c r="E491" s="45" t="s">
        <v>20</v>
      </c>
      <c r="F491" s="45" t="str">
        <f t="shared" si="15"/>
        <v>#REF!</v>
      </c>
      <c r="G491" s="45" t="str">
        <f t="shared" si="16"/>
        <v>#REF!</v>
      </c>
      <c r="H491" s="57" t="s">
        <v>21</v>
      </c>
      <c r="I491" s="48" t="s">
        <v>63</v>
      </c>
      <c r="J491" s="57" t="s">
        <v>35</v>
      </c>
      <c r="K491" s="60" t="s">
        <v>95</v>
      </c>
      <c r="L491" s="60" t="s">
        <v>1110</v>
      </c>
      <c r="M491" s="49">
        <v>16.0</v>
      </c>
      <c r="N491" s="60" t="s">
        <v>25</v>
      </c>
      <c r="O491" s="60" t="s">
        <v>55</v>
      </c>
      <c r="P491" s="61" t="s">
        <v>1105</v>
      </c>
    </row>
    <row r="492">
      <c r="A492" s="51">
        <v>682.0</v>
      </c>
      <c r="B492" s="51">
        <v>682.0</v>
      </c>
      <c r="C492" s="34" t="str">
        <f>IFERROR(__xludf.DUMMYFUNCTION("if(B492&lt;=999,if(B492&lt;=99,IF(B492&lt;=9,join(,""000"",B492),join(,""00"",B492)),join(,""0"",B492)),B492)"),"0682")</f>
        <v>0682</v>
      </c>
      <c r="D492" s="52" t="s">
        <v>1111</v>
      </c>
      <c r="E492" s="53" t="s">
        <v>20</v>
      </c>
      <c r="F492" s="34" t="str">
        <f t="shared" si="15"/>
        <v>#REF!</v>
      </c>
      <c r="G492" s="34" t="str">
        <f t="shared" si="16"/>
        <v>#REF!</v>
      </c>
      <c r="H492" s="54" t="s">
        <v>21</v>
      </c>
      <c r="I492" s="81" t="s">
        <v>63</v>
      </c>
      <c r="J492" s="54" t="s">
        <v>35</v>
      </c>
      <c r="K492" s="42" t="s">
        <v>95</v>
      </c>
      <c r="L492" s="42" t="s">
        <v>1110</v>
      </c>
      <c r="M492" s="38">
        <v>16.0</v>
      </c>
      <c r="N492" s="42" t="s">
        <v>25</v>
      </c>
      <c r="O492" s="42" t="s">
        <v>55</v>
      </c>
      <c r="P492" s="43" t="s">
        <v>1105</v>
      </c>
    </row>
    <row r="493">
      <c r="A493" s="45">
        <v>216.0</v>
      </c>
      <c r="B493" s="45">
        <v>216.0</v>
      </c>
      <c r="C493" s="45" t="str">
        <f>IFERROR(__xludf.DUMMYFUNCTION("if(B493&lt;=999,if(B493&lt;=99,IF(B493&lt;=9,join(,""000"",B493),join(,""00"",B493)),join(,""0"",B493)),B493)"),"0216")</f>
        <v>0216</v>
      </c>
      <c r="D493" s="46" t="s">
        <v>1112</v>
      </c>
      <c r="E493" s="45" t="s">
        <v>20</v>
      </c>
      <c r="F493" s="45" t="str">
        <f t="shared" si="15"/>
        <v>#REF!</v>
      </c>
      <c r="G493" s="45" t="str">
        <f t="shared" si="16"/>
        <v>#REF!</v>
      </c>
      <c r="H493" s="47" t="s">
        <v>21</v>
      </c>
      <c r="I493" s="48" t="s">
        <v>63</v>
      </c>
      <c r="J493" s="47" t="s">
        <v>35</v>
      </c>
      <c r="K493" s="60" t="s">
        <v>95</v>
      </c>
      <c r="L493" s="60" t="s">
        <v>1110</v>
      </c>
      <c r="M493" s="49">
        <v>24.0</v>
      </c>
      <c r="N493" s="60" t="s">
        <v>25</v>
      </c>
      <c r="O493" s="60" t="s">
        <v>55</v>
      </c>
      <c r="P493" s="61" t="s">
        <v>1105</v>
      </c>
    </row>
    <row r="494">
      <c r="A494" s="33">
        <v>1058.0</v>
      </c>
      <c r="B494" s="34">
        <v>1058.0</v>
      </c>
      <c r="C494" s="34">
        <f>IFERROR(__xludf.DUMMYFUNCTION("if(B494&lt;=999,if(B494&lt;=99,IF(B494&lt;=9,join(,""000"",B494),join(,""00"",B494)),join(,""0"",B494)),B494)"),1058.0)</f>
        <v>1058</v>
      </c>
      <c r="D494" s="35" t="s">
        <v>1113</v>
      </c>
      <c r="E494" s="34" t="s">
        <v>35</v>
      </c>
      <c r="F494" s="34" t="str">
        <f t="shared" si="15"/>
        <v>#REF!</v>
      </c>
      <c r="G494" s="34" t="str">
        <f t="shared" si="16"/>
        <v>#REF!</v>
      </c>
      <c r="H494" s="36" t="s">
        <v>21</v>
      </c>
      <c r="I494" s="37"/>
      <c r="J494" s="36"/>
      <c r="K494" s="38"/>
      <c r="L494" s="42"/>
      <c r="M494" s="38" t="e">
        <v>#N/A</v>
      </c>
      <c r="N494" s="38"/>
      <c r="O494" s="38"/>
      <c r="P494" s="39"/>
    </row>
    <row r="495">
      <c r="A495" s="51">
        <v>805.0</v>
      </c>
      <c r="B495" s="51">
        <v>805.0</v>
      </c>
      <c r="C495" s="34" t="str">
        <f>IFERROR(__xludf.DUMMYFUNCTION("if(B495&lt;=999,if(B495&lt;=99,IF(B495&lt;=9,join(,""000"",B495),join(,""00"",B495)),join(,""0"",B495)),B495)"),"0805")</f>
        <v>0805</v>
      </c>
      <c r="D495" s="52" t="s">
        <v>1114</v>
      </c>
      <c r="E495" s="53" t="s">
        <v>20</v>
      </c>
      <c r="F495" s="34" t="str">
        <f t="shared" si="15"/>
        <v>#REF!</v>
      </c>
      <c r="G495" s="34" t="str">
        <f t="shared" si="16"/>
        <v>#REF!</v>
      </c>
      <c r="H495" s="54" t="s">
        <v>21</v>
      </c>
      <c r="I495" s="81" t="s">
        <v>99</v>
      </c>
      <c r="J495" s="54" t="s">
        <v>35</v>
      </c>
      <c r="K495" s="42"/>
      <c r="L495" s="42"/>
      <c r="M495" s="38">
        <v>80.0</v>
      </c>
      <c r="N495" s="42"/>
      <c r="O495" s="42"/>
      <c r="P495" s="39" t="s">
        <v>43</v>
      </c>
    </row>
    <row r="496">
      <c r="A496" s="33">
        <v>1033.0</v>
      </c>
      <c r="B496" s="34">
        <v>1033.0</v>
      </c>
      <c r="C496" s="34">
        <f>IFERROR(__xludf.DUMMYFUNCTION("if(B496&lt;=999,if(B496&lt;=99,IF(B496&lt;=9,join(,""000"",B496),join(,""00"",B496)),join(,""0"",B496)),B496)"),1033.0)</f>
        <v>1033</v>
      </c>
      <c r="D496" s="35" t="s">
        <v>1115</v>
      </c>
      <c r="E496" s="34" t="s">
        <v>20</v>
      </c>
      <c r="F496" s="34" t="str">
        <f t="shared" si="15"/>
        <v>#REF!</v>
      </c>
      <c r="G496" s="34" t="str">
        <f t="shared" si="16"/>
        <v>#REF!</v>
      </c>
      <c r="H496" s="36" t="s">
        <v>21</v>
      </c>
      <c r="I496" s="37" t="s">
        <v>73</v>
      </c>
      <c r="J496" s="36" t="s">
        <v>35</v>
      </c>
      <c r="K496" s="38" t="s">
        <v>95</v>
      </c>
      <c r="L496" s="38" t="s">
        <v>1116</v>
      </c>
      <c r="M496" s="38">
        <v>1500.0</v>
      </c>
      <c r="N496" s="38" t="s">
        <v>25</v>
      </c>
      <c r="O496" s="38" t="s">
        <v>55</v>
      </c>
      <c r="P496" s="39" t="s">
        <v>66</v>
      </c>
    </row>
    <row r="497">
      <c r="A497" s="51">
        <v>949.0</v>
      </c>
      <c r="B497" s="51">
        <v>949.0</v>
      </c>
      <c r="C497" s="34" t="str">
        <f>IFERROR(__xludf.DUMMYFUNCTION("if(B497&lt;=999,if(B497&lt;=99,IF(B497&lt;=9,join(,""000"",B497),join(,""00"",B497)),join(,""0"",B497)),B497)"),"0949")</f>
        <v>0949</v>
      </c>
      <c r="D497" s="52" t="s">
        <v>1117</v>
      </c>
      <c r="E497" s="53" t="s">
        <v>20</v>
      </c>
      <c r="F497" s="34" t="str">
        <f t="shared" si="15"/>
        <v>#REF!</v>
      </c>
      <c r="G497" s="34" t="str">
        <f t="shared" si="16"/>
        <v>#REF!</v>
      </c>
      <c r="H497" s="54" t="s">
        <v>21</v>
      </c>
      <c r="I497" s="37" t="s">
        <v>22</v>
      </c>
      <c r="J497" s="54" t="s">
        <v>35</v>
      </c>
      <c r="K497" s="42"/>
      <c r="L497" s="42"/>
      <c r="M497" s="38">
        <v>4.0</v>
      </c>
      <c r="N497" s="42"/>
      <c r="O497" s="42"/>
      <c r="P497" s="43" t="s">
        <v>1118</v>
      </c>
    </row>
    <row r="498">
      <c r="A498" s="51">
        <v>1069.0</v>
      </c>
      <c r="B498" s="51">
        <v>1069.0</v>
      </c>
      <c r="C498" s="34">
        <f>IFERROR(__xludf.DUMMYFUNCTION("if(B498&lt;=999,if(B498&lt;=99,IF(B498&lt;=9,join(,""000"",B498),join(,""00"",B498)),join(,""0"",B498)),B498)"),1069.0)</f>
        <v>1069</v>
      </c>
      <c r="D498" s="52" t="s">
        <v>1119</v>
      </c>
      <c r="E498" s="53" t="s">
        <v>20</v>
      </c>
      <c r="F498" s="34" t="str">
        <f t="shared" si="15"/>
        <v>#REF!</v>
      </c>
      <c r="G498" s="34" t="str">
        <f t="shared" si="16"/>
        <v>#REF!</v>
      </c>
      <c r="H498" s="54" t="s">
        <v>21</v>
      </c>
      <c r="I498" s="81" t="s">
        <v>77</v>
      </c>
      <c r="J498" s="54" t="s">
        <v>35</v>
      </c>
      <c r="K498" s="42"/>
      <c r="L498" s="42"/>
      <c r="M498" s="38">
        <v>80.0</v>
      </c>
      <c r="N498" s="42"/>
      <c r="O498" s="42"/>
      <c r="P498" s="43" t="s">
        <v>61</v>
      </c>
    </row>
    <row r="499">
      <c r="A499" s="55">
        <v>1079.0</v>
      </c>
      <c r="B499" s="55">
        <v>1079.0</v>
      </c>
      <c r="C499" s="45">
        <f>IFERROR(__xludf.DUMMYFUNCTION("if(B499&lt;=999,if(B499&lt;=99,IF(B499&lt;=9,join(,""000"",B499),join(,""00"",B499)),join(,""0"",B499)),B499)"),1079.0)</f>
        <v>1079</v>
      </c>
      <c r="D499" s="56" t="s">
        <v>1120</v>
      </c>
      <c r="E499" s="55" t="s">
        <v>20</v>
      </c>
      <c r="F499" s="45" t="str">
        <f t="shared" si="15"/>
        <v>#REF!</v>
      </c>
      <c r="G499" s="45" t="str">
        <f t="shared" si="16"/>
        <v>#REF!</v>
      </c>
      <c r="H499" s="57" t="s">
        <v>21</v>
      </c>
      <c r="I499" s="83" t="s">
        <v>77</v>
      </c>
      <c r="J499" s="57" t="s">
        <v>35</v>
      </c>
      <c r="K499" s="60"/>
      <c r="L499" s="71" t="s">
        <v>1121</v>
      </c>
      <c r="M499" s="49" t="s">
        <v>484</v>
      </c>
      <c r="N499" s="71" t="s">
        <v>25</v>
      </c>
      <c r="O499" s="71" t="s">
        <v>1122</v>
      </c>
      <c r="P499" s="71" t="s">
        <v>87</v>
      </c>
    </row>
    <row r="500">
      <c r="A500" s="55">
        <v>1126.0</v>
      </c>
      <c r="B500" s="55">
        <v>1126.0</v>
      </c>
      <c r="C500" s="45">
        <f>IFERROR(__xludf.DUMMYFUNCTION("if(B500&lt;=999,if(B500&lt;=99,IF(B500&lt;=9,join(,""000"",B500),join(,""00"",B500)),join(,""0"",B500)),B500)"),1126.0)</f>
        <v>1126</v>
      </c>
      <c r="D500" s="56" t="s">
        <v>1123</v>
      </c>
      <c r="E500" s="55" t="s">
        <v>20</v>
      </c>
      <c r="F500" s="45" t="str">
        <f t="shared" si="15"/>
        <v>#REF!</v>
      </c>
      <c r="G500" s="45" t="str">
        <f t="shared" si="16"/>
        <v>#REF!</v>
      </c>
      <c r="H500" s="57" t="s">
        <v>21</v>
      </c>
      <c r="I500" s="48" t="s">
        <v>77</v>
      </c>
      <c r="J500" s="57" t="s">
        <v>35</v>
      </c>
      <c r="K500" s="71"/>
      <c r="L500" s="71" t="s">
        <v>1121</v>
      </c>
      <c r="M500" s="49" t="s">
        <v>1124</v>
      </c>
      <c r="N500" s="71" t="s">
        <v>25</v>
      </c>
      <c r="O500" s="71" t="s">
        <v>1122</v>
      </c>
      <c r="P500" s="71" t="s">
        <v>87</v>
      </c>
    </row>
    <row r="501">
      <c r="A501" s="51">
        <v>23.0</v>
      </c>
      <c r="B501" s="51">
        <v>23.0</v>
      </c>
      <c r="C501" s="34" t="str">
        <f>IFERROR(__xludf.DUMMYFUNCTION("if(B501&lt;=999,if(B501&lt;=99,IF(B501&lt;=9,join(,""000"",B501),join(,""00"",B501)),join(,""0"",B501)),B501)"),"0023")</f>
        <v>0023</v>
      </c>
      <c r="D501" s="52" t="s">
        <v>1125</v>
      </c>
      <c r="E501" s="53" t="s">
        <v>20</v>
      </c>
      <c r="F501" s="34" t="str">
        <f t="shared" si="15"/>
        <v>#REF!</v>
      </c>
      <c r="G501" s="34" t="str">
        <f t="shared" si="16"/>
        <v>#REF!</v>
      </c>
      <c r="H501" s="54" t="s">
        <v>21</v>
      </c>
      <c r="I501" s="81" t="s">
        <v>22</v>
      </c>
      <c r="J501" s="54" t="s">
        <v>35</v>
      </c>
      <c r="K501" s="42"/>
      <c r="L501" s="42"/>
      <c r="M501" s="38" t="s">
        <v>1126</v>
      </c>
      <c r="N501" s="42"/>
      <c r="O501" s="42"/>
      <c r="P501" s="43" t="s">
        <v>43</v>
      </c>
    </row>
    <row r="502">
      <c r="A502" s="51">
        <v>1404.0</v>
      </c>
      <c r="B502" s="51">
        <v>1404.0</v>
      </c>
      <c r="C502" s="34">
        <f>IFERROR(__xludf.DUMMYFUNCTION("if(B502&lt;=999,if(B502&lt;=99,IF(B502&lt;=9,join(,""000"",B502),join(,""00"",B502)),join(,""0"",B502)),B502)"),1404.0)</f>
        <v>1404</v>
      </c>
      <c r="D502" s="52" t="s">
        <v>1127</v>
      </c>
      <c r="E502" s="53" t="s">
        <v>35</v>
      </c>
      <c r="F502" s="34" t="str">
        <f t="shared" si="15"/>
        <v>#REF!</v>
      </c>
      <c r="G502" s="34" t="str">
        <f t="shared" si="16"/>
        <v>#REF!</v>
      </c>
      <c r="H502" s="54" t="s">
        <v>21</v>
      </c>
      <c r="I502" s="81"/>
      <c r="J502" s="54"/>
      <c r="K502" s="42"/>
      <c r="L502" s="42"/>
      <c r="M502" s="38" t="e">
        <v>#N/A</v>
      </c>
      <c r="N502" s="42"/>
      <c r="O502" s="42"/>
      <c r="P502" s="43"/>
    </row>
    <row r="503">
      <c r="A503" s="51">
        <v>359.0</v>
      </c>
      <c r="B503" s="51">
        <v>359.0</v>
      </c>
      <c r="C503" s="34" t="str">
        <f>IFERROR(__xludf.DUMMYFUNCTION("if(B503&lt;=999,if(B503&lt;=99,IF(B503&lt;=9,join(,""000"",B503),join(,""00"",B503)),join(,""0"",B503)),B503)"),"0359")</f>
        <v>0359</v>
      </c>
      <c r="D503" s="52" t="s">
        <v>1128</v>
      </c>
      <c r="E503" s="53" t="s">
        <v>35</v>
      </c>
      <c r="F503" s="34" t="str">
        <f t="shared" si="15"/>
        <v>#REF!</v>
      </c>
      <c r="G503" s="34" t="str">
        <f t="shared" si="16"/>
        <v>#REF!</v>
      </c>
      <c r="H503" s="54" t="s">
        <v>21</v>
      </c>
      <c r="I503" s="81"/>
      <c r="J503" s="54"/>
      <c r="K503" s="42"/>
      <c r="L503" s="42"/>
      <c r="M503" s="38" t="e">
        <v>#N/A</v>
      </c>
      <c r="N503" s="42"/>
      <c r="O503" s="42"/>
      <c r="P503" s="43"/>
    </row>
    <row r="504">
      <c r="A504" s="33">
        <v>1083.0</v>
      </c>
      <c r="B504" s="34">
        <v>1083.0</v>
      </c>
      <c r="C504" s="34">
        <f>IFERROR(__xludf.DUMMYFUNCTION("if(B504&lt;=999,if(B504&lt;=99,IF(B504&lt;=9,join(,""000"",B504),join(,""00"",B504)),join(,""0"",B504)),B504)"),1083.0)</f>
        <v>1083</v>
      </c>
      <c r="D504" s="35" t="s">
        <v>1129</v>
      </c>
      <c r="E504" s="34" t="s">
        <v>20</v>
      </c>
      <c r="F504" s="34" t="str">
        <f t="shared" si="15"/>
        <v>#REF!</v>
      </c>
      <c r="G504" s="34" t="str">
        <f t="shared" si="16"/>
        <v>#REF!</v>
      </c>
      <c r="H504" s="36" t="s">
        <v>21</v>
      </c>
      <c r="I504" s="37" t="s">
        <v>22</v>
      </c>
      <c r="J504" s="36" t="s">
        <v>35</v>
      </c>
      <c r="K504" s="38"/>
      <c r="L504" s="42"/>
      <c r="M504" s="38">
        <v>25001.0</v>
      </c>
      <c r="N504" s="38"/>
      <c r="O504" s="38"/>
      <c r="P504" s="39" t="s">
        <v>43</v>
      </c>
    </row>
    <row r="505">
      <c r="A505" s="51">
        <v>520.0</v>
      </c>
      <c r="B505" s="51">
        <v>520.0</v>
      </c>
      <c r="C505" s="34" t="str">
        <f>IFERROR(__xludf.DUMMYFUNCTION("if(B505&lt;=999,if(B505&lt;=99,IF(B505&lt;=9,join(,""000"",B505),join(,""00"",B505)),join(,""0"",B505)),B505)"),"0520")</f>
        <v>0520</v>
      </c>
      <c r="D505" s="52" t="s">
        <v>1130</v>
      </c>
      <c r="E505" s="53" t="s">
        <v>20</v>
      </c>
      <c r="F505" s="34" t="str">
        <f t="shared" si="15"/>
        <v>#REF!</v>
      </c>
      <c r="G505" s="34" t="str">
        <f t="shared" si="16"/>
        <v>#REF!</v>
      </c>
      <c r="H505" s="54" t="s">
        <v>21</v>
      </c>
      <c r="I505" s="81" t="s">
        <v>101</v>
      </c>
      <c r="J505" s="54" t="s">
        <v>35</v>
      </c>
      <c r="K505" s="42"/>
      <c r="L505" s="42"/>
      <c r="M505" s="38">
        <v>25001.0</v>
      </c>
      <c r="N505" s="42"/>
      <c r="O505" s="42"/>
      <c r="P505" s="43" t="s">
        <v>46</v>
      </c>
    </row>
    <row r="506">
      <c r="A506" s="51">
        <v>4.0</v>
      </c>
      <c r="B506" s="51">
        <v>4.0</v>
      </c>
      <c r="C506" s="34" t="str">
        <f>IFERROR(__xludf.DUMMYFUNCTION("if(B506&lt;=999,if(B506&lt;=99,IF(B506&lt;=9,join(,""000"",B506),join(,""00"",B506)),join(,""0"",B506)),B506)"),"0004")</f>
        <v>0004</v>
      </c>
      <c r="D506" s="52" t="s">
        <v>1131</v>
      </c>
      <c r="E506" s="53" t="s">
        <v>20</v>
      </c>
      <c r="F506" s="34" t="str">
        <f t="shared" si="15"/>
        <v>#REF!</v>
      </c>
      <c r="G506" s="34" t="str">
        <f t="shared" si="16"/>
        <v>#REF!</v>
      </c>
      <c r="H506" s="54" t="s">
        <v>21</v>
      </c>
      <c r="I506" s="81" t="s">
        <v>101</v>
      </c>
      <c r="J506" s="54"/>
      <c r="K506" s="42"/>
      <c r="L506" s="42"/>
      <c r="M506" s="38">
        <v>4.0</v>
      </c>
      <c r="N506" s="42"/>
      <c r="O506" s="42"/>
      <c r="P506" s="43" t="s">
        <v>1132</v>
      </c>
    </row>
    <row r="507">
      <c r="A507" s="51">
        <v>684.0</v>
      </c>
      <c r="B507" s="51">
        <v>684.0</v>
      </c>
      <c r="C507" s="34" t="str">
        <f>IFERROR(__xludf.DUMMYFUNCTION("if(B507&lt;=999,if(B507&lt;=99,IF(B507&lt;=9,join(,""000"",B507),join(,""00"",B507)),join(,""0"",B507)),B507)"),"0684")</f>
        <v>0684</v>
      </c>
      <c r="D507" s="52" t="s">
        <v>1133</v>
      </c>
      <c r="E507" s="53" t="s">
        <v>20</v>
      </c>
      <c r="F507" s="34" t="str">
        <f t="shared" si="15"/>
        <v>#REF!</v>
      </c>
      <c r="G507" s="34" t="str">
        <f t="shared" si="16"/>
        <v>#REF!</v>
      </c>
      <c r="H507" s="54" t="s">
        <v>21</v>
      </c>
      <c r="I507" s="81" t="s">
        <v>101</v>
      </c>
      <c r="J507" s="54" t="s">
        <v>35</v>
      </c>
      <c r="K507" s="42"/>
      <c r="L507" s="42"/>
      <c r="M507" s="38">
        <v>25001.0</v>
      </c>
      <c r="N507" s="42"/>
      <c r="O507" s="42"/>
      <c r="P507" s="43" t="s">
        <v>1134</v>
      </c>
    </row>
    <row r="508">
      <c r="A508" s="51">
        <v>1415.0</v>
      </c>
      <c r="B508" s="51">
        <v>1415.0</v>
      </c>
      <c r="C508" s="34">
        <f>IFERROR(__xludf.DUMMYFUNCTION("if(B508&lt;=999,if(B508&lt;=99,IF(B508&lt;=9,join(,""000"",B508),join(,""00"",B508)),join(,""0"",B508)),B508)"),1415.0)</f>
        <v>1415</v>
      </c>
      <c r="D508" s="52" t="s">
        <v>1135</v>
      </c>
      <c r="E508" s="53" t="s">
        <v>20</v>
      </c>
      <c r="F508" s="34" t="str">
        <f t="shared" si="15"/>
        <v>#REF!</v>
      </c>
      <c r="G508" s="34" t="str">
        <f t="shared" si="16"/>
        <v>#REF!</v>
      </c>
      <c r="H508" s="54" t="s">
        <v>21</v>
      </c>
      <c r="I508" s="81" t="s">
        <v>73</v>
      </c>
      <c r="J508" s="54" t="s">
        <v>35</v>
      </c>
      <c r="K508" s="42" t="s">
        <v>23</v>
      </c>
      <c r="L508" s="42" t="s">
        <v>1136</v>
      </c>
      <c r="M508" s="38" t="s">
        <v>1137</v>
      </c>
      <c r="N508" s="42" t="s">
        <v>25</v>
      </c>
      <c r="O508" s="42" t="s">
        <v>1138</v>
      </c>
      <c r="P508" s="43" t="s">
        <v>1134</v>
      </c>
    </row>
    <row r="509">
      <c r="A509" s="51">
        <v>1390.0</v>
      </c>
      <c r="B509" s="51">
        <v>1390.0</v>
      </c>
      <c r="C509" s="34">
        <f>IFERROR(__xludf.DUMMYFUNCTION("if(B509&lt;=999,if(B509&lt;=99,IF(B509&lt;=9,join(,""000"",B509),join(,""00"",B509)),join(,""0"",B509)),B509)"),1390.0)</f>
        <v>1390</v>
      </c>
      <c r="D509" s="52" t="s">
        <v>1139</v>
      </c>
      <c r="E509" s="53" t="s">
        <v>20</v>
      </c>
      <c r="F509" s="34" t="str">
        <f t="shared" si="15"/>
        <v>#REF!</v>
      </c>
      <c r="G509" s="34" t="str">
        <f t="shared" si="16"/>
        <v>#REF!</v>
      </c>
      <c r="H509" s="54" t="s">
        <v>21</v>
      </c>
      <c r="I509" s="37" t="s">
        <v>73</v>
      </c>
      <c r="J509" s="54" t="s">
        <v>35</v>
      </c>
      <c r="K509" s="92" t="s">
        <v>330</v>
      </c>
      <c r="L509" s="92" t="s">
        <v>1140</v>
      </c>
      <c r="M509" s="38">
        <v>37777.0</v>
      </c>
      <c r="N509" s="92" t="s">
        <v>25</v>
      </c>
      <c r="O509" s="92" t="s">
        <v>1141</v>
      </c>
      <c r="P509" s="92" t="s">
        <v>97</v>
      </c>
    </row>
    <row r="510">
      <c r="A510" s="33">
        <v>489.0</v>
      </c>
      <c r="B510" s="34">
        <v>489.0</v>
      </c>
      <c r="C510" s="34" t="str">
        <f>IFERROR(__xludf.DUMMYFUNCTION("if(B510&lt;=999,if(B510&lt;=99,IF(B510&lt;=9,join(,""000"",B510),join(,""00"",B510)),join(,""0"",B510)),B510)"),"0489")</f>
        <v>0489</v>
      </c>
      <c r="D510" s="35" t="s">
        <v>1142</v>
      </c>
      <c r="E510" s="34" t="s">
        <v>20</v>
      </c>
      <c r="F510" s="34" t="str">
        <f t="shared" si="15"/>
        <v>#REF!</v>
      </c>
      <c r="G510" s="34" t="str">
        <f t="shared" si="16"/>
        <v>#REF!</v>
      </c>
      <c r="H510" s="36" t="s">
        <v>21</v>
      </c>
      <c r="I510" s="37"/>
      <c r="J510" s="36"/>
      <c r="K510" s="38"/>
      <c r="L510" s="42"/>
      <c r="M510" s="38" t="s">
        <v>717</v>
      </c>
      <c r="N510" s="38"/>
      <c r="O510" s="38"/>
      <c r="P510" s="39"/>
    </row>
    <row r="511">
      <c r="A511" s="51">
        <v>68.0</v>
      </c>
      <c r="B511" s="51">
        <v>68.0</v>
      </c>
      <c r="C511" s="34" t="str">
        <f>IFERROR(__xludf.DUMMYFUNCTION("if(B511&lt;=999,if(B511&lt;=99,IF(B511&lt;=9,join(,""000"",B511),join(,""00"",B511)),join(,""0"",B511)),B511)"),"0068")</f>
        <v>0068</v>
      </c>
      <c r="D511" s="52" t="s">
        <v>1143</v>
      </c>
      <c r="E511" s="53" t="s">
        <v>20</v>
      </c>
      <c r="F511" s="34" t="str">
        <f t="shared" si="15"/>
        <v>#REF!</v>
      </c>
      <c r="G511" s="34" t="str">
        <f t="shared" si="16"/>
        <v>#REF!</v>
      </c>
      <c r="H511" s="54" t="s">
        <v>21</v>
      </c>
      <c r="I511" s="37" t="s">
        <v>22</v>
      </c>
      <c r="J511" s="54" t="s">
        <v>35</v>
      </c>
      <c r="K511" s="92"/>
      <c r="L511" s="42"/>
      <c r="M511" s="38" t="s">
        <v>1144</v>
      </c>
      <c r="N511" s="92"/>
      <c r="O511" s="92"/>
      <c r="P511" s="92" t="s">
        <v>754</v>
      </c>
    </row>
    <row r="512">
      <c r="A512" s="33">
        <v>804.0</v>
      </c>
      <c r="B512" s="34">
        <v>804.0</v>
      </c>
      <c r="C512" s="34" t="str">
        <f>IFERROR(__xludf.DUMMYFUNCTION("if(B512&lt;=999,if(B512&lt;=99,IF(B512&lt;=9,join(,""000"",B512),join(,""00"",B512)),join(,""0"",B512)),B512)"),"0804")</f>
        <v>0804</v>
      </c>
      <c r="D512" s="35" t="s">
        <v>1145</v>
      </c>
      <c r="E512" s="34" t="s">
        <v>20</v>
      </c>
      <c r="F512" s="34" t="str">
        <f t="shared" si="15"/>
        <v>#REF!</v>
      </c>
      <c r="G512" s="34" t="str">
        <f t="shared" si="16"/>
        <v>#REF!</v>
      </c>
      <c r="H512" s="36" t="s">
        <v>21</v>
      </c>
      <c r="I512" s="37" t="s">
        <v>99</v>
      </c>
      <c r="J512" s="36" t="s">
        <v>20</v>
      </c>
      <c r="K512" s="42" t="s">
        <v>355</v>
      </c>
      <c r="L512" s="42" t="s">
        <v>1146</v>
      </c>
      <c r="M512" s="38" t="e">
        <v>#N/A</v>
      </c>
      <c r="N512" s="42" t="s">
        <v>25</v>
      </c>
      <c r="O512" s="42" t="s">
        <v>86</v>
      </c>
      <c r="P512" s="43"/>
    </row>
    <row r="513">
      <c r="A513" s="51">
        <v>679.0</v>
      </c>
      <c r="B513" s="51">
        <v>679.0</v>
      </c>
      <c r="C513" s="34" t="str">
        <f>IFERROR(__xludf.DUMMYFUNCTION("if(B513&lt;=999,if(B513&lt;=99,IF(B513&lt;=9,join(,""000"",B513),join(,""00"",B513)),join(,""0"",B513)),B513)"),"0679")</f>
        <v>0679</v>
      </c>
      <c r="D513" s="52" t="s">
        <v>1147</v>
      </c>
      <c r="E513" s="53" t="s">
        <v>20</v>
      </c>
      <c r="F513" s="34" t="str">
        <f t="shared" si="15"/>
        <v>#REF!</v>
      </c>
      <c r="G513" s="34" t="str">
        <f t="shared" si="16"/>
        <v>#REF!</v>
      </c>
      <c r="H513" s="54" t="s">
        <v>21</v>
      </c>
      <c r="I513" s="81" t="s">
        <v>77</v>
      </c>
      <c r="J513" s="36" t="s">
        <v>20</v>
      </c>
      <c r="K513" s="42" t="s">
        <v>355</v>
      </c>
      <c r="L513" s="42" t="s">
        <v>1148</v>
      </c>
      <c r="M513" s="38">
        <v>443.0</v>
      </c>
      <c r="N513" s="42" t="s">
        <v>25</v>
      </c>
      <c r="O513" s="42" t="s">
        <v>1149</v>
      </c>
      <c r="P513" s="43" t="s">
        <v>82</v>
      </c>
    </row>
    <row r="514">
      <c r="A514" s="51">
        <v>621.0</v>
      </c>
      <c r="B514" s="51">
        <v>621.0</v>
      </c>
      <c r="C514" s="34" t="str">
        <f>IFERROR(__xludf.DUMMYFUNCTION("if(B514&lt;=999,if(B514&lt;=99,IF(B514&lt;=9,join(,""000"",B514),join(,""00"",B514)),join(,""0"",B514)),B514)"),"0621")</f>
        <v>0621</v>
      </c>
      <c r="D514" s="52" t="s">
        <v>1150</v>
      </c>
      <c r="E514" s="53" t="s">
        <v>20</v>
      </c>
      <c r="F514" s="34" t="str">
        <f t="shared" si="15"/>
        <v>#REF!</v>
      </c>
      <c r="G514" s="34" t="str">
        <f t="shared" si="16"/>
        <v>#REF!</v>
      </c>
      <c r="H514" s="54" t="s">
        <v>21</v>
      </c>
      <c r="I514" s="37" t="s">
        <v>22</v>
      </c>
      <c r="J514" s="54" t="s">
        <v>20</v>
      </c>
      <c r="K514" s="92" t="s">
        <v>355</v>
      </c>
      <c r="L514" s="93" t="s">
        <v>1151</v>
      </c>
      <c r="M514" s="38">
        <v>16.0</v>
      </c>
      <c r="N514" s="92" t="s">
        <v>25</v>
      </c>
      <c r="O514" s="92" t="s">
        <v>55</v>
      </c>
      <c r="P514" s="92" t="s">
        <v>97</v>
      </c>
    </row>
    <row r="515">
      <c r="A515" s="55">
        <v>947.0</v>
      </c>
      <c r="B515" s="55">
        <v>947.0</v>
      </c>
      <c r="C515" s="45" t="str">
        <f>IFERROR(__xludf.DUMMYFUNCTION("if(B515&lt;=999,if(B515&lt;=99,IF(B515&lt;=9,join(,""000"",B515),join(,""00"",B515)),join(,""0"",B515)),B515)"),"0947")</f>
        <v>0947</v>
      </c>
      <c r="D515" s="56" t="s">
        <v>1152</v>
      </c>
      <c r="E515" s="55" t="s">
        <v>20</v>
      </c>
      <c r="F515" s="45" t="str">
        <f t="shared" si="15"/>
        <v>#REF!</v>
      </c>
      <c r="G515" s="45" t="str">
        <f t="shared" si="16"/>
        <v>#REF!</v>
      </c>
      <c r="H515" s="57" t="s">
        <v>21</v>
      </c>
      <c r="I515" s="48" t="s">
        <v>101</v>
      </c>
      <c r="J515" s="57" t="s">
        <v>35</v>
      </c>
      <c r="K515" s="60" t="s">
        <v>95</v>
      </c>
      <c r="L515" s="60" t="s">
        <v>1153</v>
      </c>
      <c r="M515" s="49" t="s">
        <v>1154</v>
      </c>
      <c r="N515" s="60" t="s">
        <v>25</v>
      </c>
      <c r="O515" s="60" t="s">
        <v>86</v>
      </c>
      <c r="P515" s="61" t="s">
        <v>1155</v>
      </c>
    </row>
    <row r="516">
      <c r="A516" s="51">
        <v>1449.0</v>
      </c>
      <c r="B516" s="51">
        <v>1449.0</v>
      </c>
      <c r="C516" s="34">
        <f>IFERROR(__xludf.DUMMYFUNCTION("if(B516&lt;=999,if(B516&lt;=99,IF(B516&lt;=9,join(,""000"",B516),join(,""00"",B516)),join(,""0"",B516)),B516)"),1449.0)</f>
        <v>1449</v>
      </c>
      <c r="D516" s="52" t="s">
        <v>1156</v>
      </c>
      <c r="E516" s="34" t="s">
        <v>20</v>
      </c>
      <c r="F516" s="34" t="str">
        <f t="shared" si="15"/>
        <v>#REF!</v>
      </c>
      <c r="G516" s="34" t="str">
        <f t="shared" si="16"/>
        <v>#REF!</v>
      </c>
      <c r="H516" s="54" t="s">
        <v>21</v>
      </c>
      <c r="I516" s="37" t="s">
        <v>22</v>
      </c>
      <c r="J516" s="54" t="s">
        <v>35</v>
      </c>
      <c r="K516" s="42" t="s">
        <v>95</v>
      </c>
      <c r="L516" s="42" t="s">
        <v>1157</v>
      </c>
      <c r="M516" s="38" t="e">
        <v>#N/A</v>
      </c>
      <c r="N516" s="62" t="s">
        <v>25</v>
      </c>
      <c r="O516" s="62" t="s">
        <v>55</v>
      </c>
      <c r="P516" s="43" t="s">
        <v>301</v>
      </c>
    </row>
    <row r="517">
      <c r="A517" s="51">
        <v>1124.0</v>
      </c>
      <c r="B517" s="51">
        <v>1124.0</v>
      </c>
      <c r="C517" s="34">
        <f>IFERROR(__xludf.DUMMYFUNCTION("if(B517&lt;=999,if(B517&lt;=99,IF(B517&lt;=9,join(,""000"",B517),join(,""00"",B517)),join(,""0"",B517)),B517)"),1124.0)</f>
        <v>1124</v>
      </c>
      <c r="D517" s="52" t="s">
        <v>1158</v>
      </c>
      <c r="E517" s="53" t="s">
        <v>20</v>
      </c>
      <c r="F517" s="34" t="str">
        <f t="shared" si="15"/>
        <v>#REF!</v>
      </c>
      <c r="G517" s="34" t="str">
        <f t="shared" si="16"/>
        <v>#REF!</v>
      </c>
      <c r="H517" s="54" t="s">
        <v>21</v>
      </c>
      <c r="I517" s="81" t="s">
        <v>77</v>
      </c>
      <c r="J517" s="54" t="s">
        <v>35</v>
      </c>
      <c r="K517" s="42"/>
      <c r="L517" s="42"/>
      <c r="M517" s="38">
        <v>5000.0</v>
      </c>
      <c r="N517" s="42"/>
      <c r="O517" s="42"/>
      <c r="P517" s="43" t="s">
        <v>299</v>
      </c>
    </row>
    <row r="518">
      <c r="A518" s="51">
        <v>977.0</v>
      </c>
      <c r="B518" s="51">
        <v>977.0</v>
      </c>
      <c r="C518" s="34" t="str">
        <f>IFERROR(__xludf.DUMMYFUNCTION("if(B518&lt;=999,if(B518&lt;=99,IF(B518&lt;=9,join(,""000"",B518),join(,""00"",B518)),join(,""0"",B518)),B518)"),"0977")</f>
        <v>0977</v>
      </c>
      <c r="D518" s="52" t="s">
        <v>1159</v>
      </c>
      <c r="E518" s="53" t="s">
        <v>20</v>
      </c>
      <c r="F518" s="34" t="str">
        <f t="shared" si="15"/>
        <v>#REF!</v>
      </c>
      <c r="G518" s="34" t="str">
        <f t="shared" si="16"/>
        <v>#REF!</v>
      </c>
      <c r="H518" s="54" t="s">
        <v>21</v>
      </c>
      <c r="I518" s="37" t="s">
        <v>22</v>
      </c>
      <c r="J518" s="54" t="s">
        <v>35</v>
      </c>
      <c r="K518" s="42"/>
      <c r="L518" s="42"/>
      <c r="M518" s="38">
        <v>80.0</v>
      </c>
      <c r="N518" s="42"/>
      <c r="O518" s="42"/>
      <c r="P518" s="43" t="s">
        <v>43</v>
      </c>
    </row>
    <row r="519">
      <c r="A519" s="51">
        <v>1039.0</v>
      </c>
      <c r="B519" s="51">
        <v>1039.0</v>
      </c>
      <c r="C519" s="34">
        <f>IFERROR(__xludf.DUMMYFUNCTION("if(B519&lt;=999,if(B519&lt;=99,IF(B519&lt;=9,join(,""000"",B519),join(,""00"",B519)),join(,""0"",B519)),B519)"),1039.0)</f>
        <v>1039</v>
      </c>
      <c r="D519" s="52" t="s">
        <v>1160</v>
      </c>
      <c r="E519" s="53" t="s">
        <v>20</v>
      </c>
      <c r="F519" s="34" t="str">
        <f t="shared" si="15"/>
        <v>#REF!</v>
      </c>
      <c r="G519" s="34" t="str">
        <f t="shared" si="16"/>
        <v>#REF!</v>
      </c>
      <c r="H519" s="54" t="s">
        <v>21</v>
      </c>
      <c r="I519" s="81" t="s">
        <v>99</v>
      </c>
      <c r="J519" s="54" t="s">
        <v>35</v>
      </c>
      <c r="K519" s="42"/>
      <c r="L519" s="42"/>
      <c r="M519" s="38">
        <v>80.0</v>
      </c>
      <c r="N519" s="42"/>
      <c r="O519" s="42"/>
      <c r="P519" s="43" t="s">
        <v>1134</v>
      </c>
    </row>
    <row r="520">
      <c r="A520" s="51">
        <v>641.0</v>
      </c>
      <c r="B520" s="51">
        <v>641.0</v>
      </c>
      <c r="C520" s="34" t="str">
        <f>IFERROR(__xludf.DUMMYFUNCTION("if(B520&lt;=999,if(B520&lt;=99,IF(B520&lt;=9,join(,""000"",B520),join(,""00"",B520)),join(,""0"",B520)),B520)"),"0641")</f>
        <v>0641</v>
      </c>
      <c r="D520" s="52" t="s">
        <v>1161</v>
      </c>
      <c r="E520" s="34" t="s">
        <v>20</v>
      </c>
      <c r="F520" s="34" t="str">
        <f t="shared" si="15"/>
        <v>#REF!</v>
      </c>
      <c r="G520" s="34" t="str">
        <f t="shared" si="16"/>
        <v>#REF!</v>
      </c>
      <c r="H520" s="54" t="s">
        <v>21</v>
      </c>
      <c r="I520" s="37" t="s">
        <v>22</v>
      </c>
      <c r="J520" s="54" t="s">
        <v>35</v>
      </c>
      <c r="K520" s="42" t="s">
        <v>1162</v>
      </c>
      <c r="L520" s="36" t="s">
        <v>1163</v>
      </c>
      <c r="M520" s="38" t="e">
        <v>#N/A</v>
      </c>
      <c r="N520" s="62" t="s">
        <v>25</v>
      </c>
      <c r="O520" s="62" t="s">
        <v>25</v>
      </c>
      <c r="P520" s="43" t="s">
        <v>43</v>
      </c>
    </row>
    <row r="521">
      <c r="A521" s="51">
        <v>1435.0</v>
      </c>
      <c r="B521" s="51">
        <v>1435.0</v>
      </c>
      <c r="C521" s="34">
        <f>IFERROR(__xludf.DUMMYFUNCTION("if(B521&lt;=999,if(B521&lt;=99,IF(B521&lt;=9,join(,""000"",B521),join(,""00"",B521)),join(,""0"",B521)),B521)"),1435.0)</f>
        <v>1435</v>
      </c>
      <c r="D521" s="52" t="s">
        <v>1164</v>
      </c>
      <c r="E521" s="53" t="s">
        <v>20</v>
      </c>
      <c r="F521" s="34" t="str">
        <f t="shared" si="15"/>
        <v>#REF!</v>
      </c>
      <c r="G521" s="34" t="str">
        <f t="shared" si="16"/>
        <v>#REF!</v>
      </c>
      <c r="H521" s="54" t="s">
        <v>21</v>
      </c>
      <c r="I521" s="81" t="s">
        <v>60</v>
      </c>
      <c r="J521" s="54" t="s">
        <v>35</v>
      </c>
      <c r="K521" s="42"/>
      <c r="L521" s="42"/>
      <c r="M521" s="38">
        <v>16.0</v>
      </c>
      <c r="N521" s="42"/>
      <c r="O521" s="42"/>
      <c r="P521" s="43" t="s">
        <v>299</v>
      </c>
    </row>
    <row r="522">
      <c r="A522" s="51">
        <v>638.0</v>
      </c>
      <c r="B522" s="51">
        <v>638.0</v>
      </c>
      <c r="C522" s="34" t="str">
        <f>IFERROR(__xludf.DUMMYFUNCTION("if(B522&lt;=999,if(B522&lt;=99,IF(B522&lt;=9,join(,""000"",B522),join(,""00"",B522)),join(,""0"",B522)),B522)"),"0638")</f>
        <v>0638</v>
      </c>
      <c r="D522" s="52" t="s">
        <v>1165</v>
      </c>
      <c r="E522" s="53" t="s">
        <v>20</v>
      </c>
      <c r="F522" s="34" t="str">
        <f t="shared" si="15"/>
        <v>#REF!</v>
      </c>
      <c r="G522" s="34" t="str">
        <f t="shared" si="16"/>
        <v>#REF!</v>
      </c>
      <c r="H522" s="54" t="s">
        <v>21</v>
      </c>
      <c r="I522" s="37" t="s">
        <v>73</v>
      </c>
      <c r="J522" s="54" t="s">
        <v>20</v>
      </c>
      <c r="K522" s="42" t="s">
        <v>1166</v>
      </c>
      <c r="L522" s="42" t="s">
        <v>1167</v>
      </c>
      <c r="M522" s="38">
        <v>250001.0</v>
      </c>
      <c r="N522" s="42" t="s">
        <v>104</v>
      </c>
      <c r="O522" s="42" t="s">
        <v>256</v>
      </c>
      <c r="P522" s="80" t="s">
        <v>97</v>
      </c>
    </row>
    <row r="523">
      <c r="A523" s="33">
        <v>1247.0</v>
      </c>
      <c r="B523" s="34">
        <v>1247.0</v>
      </c>
      <c r="C523" s="34">
        <f>IFERROR(__xludf.DUMMYFUNCTION("if(B523&lt;=999,if(B523&lt;=99,IF(B523&lt;=9,join(,""000"",B523),join(,""00"",B523)),join(,""0"",B523)),B523)"),1247.0)</f>
        <v>1247</v>
      </c>
      <c r="D523" s="35" t="s">
        <v>1168</v>
      </c>
      <c r="E523" s="34" t="s">
        <v>20</v>
      </c>
      <c r="F523" s="34" t="str">
        <f t="shared" si="15"/>
        <v>#REF!</v>
      </c>
      <c r="G523" s="34" t="str">
        <f t="shared" si="16"/>
        <v>#REF!</v>
      </c>
      <c r="H523" s="36" t="s">
        <v>21</v>
      </c>
      <c r="I523" s="37" t="s">
        <v>34</v>
      </c>
      <c r="J523" s="36" t="s">
        <v>35</v>
      </c>
      <c r="K523" s="38"/>
      <c r="L523" s="42"/>
      <c r="M523" s="38" t="s">
        <v>453</v>
      </c>
      <c r="N523" s="38"/>
      <c r="O523" s="38"/>
      <c r="P523" s="39" t="s">
        <v>1097</v>
      </c>
    </row>
    <row r="524">
      <c r="A524" s="33">
        <v>1195.0</v>
      </c>
      <c r="B524" s="34">
        <v>1195.0</v>
      </c>
      <c r="C524" s="34">
        <f>IFERROR(__xludf.DUMMYFUNCTION("if(B524&lt;=999,if(B524&lt;=99,IF(B524&lt;=9,join(,""000"",B524),join(,""00"",B524)),join(,""0"",B524)),B524)"),1195.0)</f>
        <v>1195</v>
      </c>
      <c r="D524" s="35" t="s">
        <v>1169</v>
      </c>
      <c r="E524" s="34" t="s">
        <v>20</v>
      </c>
      <c r="F524" s="34" t="str">
        <f t="shared" si="15"/>
        <v>#REF!</v>
      </c>
      <c r="G524" s="34" t="str">
        <f t="shared" si="16"/>
        <v>#REF!</v>
      </c>
      <c r="H524" s="36" t="s">
        <v>21</v>
      </c>
      <c r="I524" s="37" t="s">
        <v>77</v>
      </c>
      <c r="J524" s="36" t="s">
        <v>35</v>
      </c>
      <c r="K524" s="38"/>
      <c r="L524" s="42"/>
      <c r="M524" s="38" t="s">
        <v>453</v>
      </c>
      <c r="N524" s="38"/>
      <c r="O524" s="38"/>
      <c r="P524" s="39" t="s">
        <v>299</v>
      </c>
    </row>
    <row r="525">
      <c r="A525" s="45">
        <v>1035.0</v>
      </c>
      <c r="B525" s="45">
        <v>1035.0</v>
      </c>
      <c r="C525" s="45">
        <f>IFERROR(__xludf.DUMMYFUNCTION("if(B525&lt;=999,if(B525&lt;=99,IF(B525&lt;=9,join(,""000"",B525),join(,""00"",B525)),join(,""0"",B525)),B525)"),1035.0)</f>
        <v>1035</v>
      </c>
      <c r="D525" s="46" t="s">
        <v>1170</v>
      </c>
      <c r="E525" s="45" t="s">
        <v>20</v>
      </c>
      <c r="F525" s="45" t="str">
        <f t="shared" si="15"/>
        <v>#REF!</v>
      </c>
      <c r="G525" s="45" t="str">
        <f t="shared" si="16"/>
        <v>#REF!</v>
      </c>
      <c r="H525" s="47" t="s">
        <v>21</v>
      </c>
      <c r="I525" s="48" t="s">
        <v>22</v>
      </c>
      <c r="J525" s="47" t="s">
        <v>20</v>
      </c>
      <c r="K525" s="49"/>
      <c r="L525" s="49" t="s">
        <v>1171</v>
      </c>
      <c r="M525" s="49">
        <v>25001.0</v>
      </c>
      <c r="N525" s="49" t="s">
        <v>25</v>
      </c>
      <c r="O525" s="49">
        <v>8.8888888E7</v>
      </c>
      <c r="P525" s="50" t="s">
        <v>1172</v>
      </c>
    </row>
    <row r="526">
      <c r="A526" s="51">
        <v>226.0</v>
      </c>
      <c r="B526" s="51">
        <v>226.0</v>
      </c>
      <c r="C526" s="34" t="str">
        <f>IFERROR(__xludf.DUMMYFUNCTION("if(B526&lt;=999,if(B526&lt;=99,IF(B526&lt;=9,join(,""000"",B526),join(,""00"",B526)),join(,""0"",B526)),B526)"),"0226")</f>
        <v>0226</v>
      </c>
      <c r="D526" s="52" t="s">
        <v>1173</v>
      </c>
      <c r="E526" s="53" t="s">
        <v>20</v>
      </c>
      <c r="F526" s="34" t="str">
        <f t="shared" si="15"/>
        <v>#REF!</v>
      </c>
      <c r="G526" s="34" t="str">
        <f t="shared" si="16"/>
        <v>#REF!</v>
      </c>
      <c r="H526" s="54" t="s">
        <v>21</v>
      </c>
      <c r="I526" s="81" t="s">
        <v>99</v>
      </c>
      <c r="J526" s="54" t="s">
        <v>35</v>
      </c>
      <c r="K526" s="42"/>
      <c r="L526" s="42"/>
      <c r="M526" s="38">
        <v>250001.0</v>
      </c>
      <c r="N526" s="42"/>
      <c r="O526" s="42"/>
      <c r="P526" s="43" t="s">
        <v>66</v>
      </c>
    </row>
    <row r="527">
      <c r="A527" s="51">
        <v>1028.0</v>
      </c>
      <c r="B527" s="51">
        <v>1028.0</v>
      </c>
      <c r="C527" s="34">
        <f>IFERROR(__xludf.DUMMYFUNCTION("if(B527&lt;=999,if(B527&lt;=99,IF(B527&lt;=9,join(,""000"",B527),join(,""00"",B527)),join(,""0"",B527)),B527)"),1028.0)</f>
        <v>1028</v>
      </c>
      <c r="D527" s="52" t="s">
        <v>1174</v>
      </c>
      <c r="E527" s="53" t="s">
        <v>20</v>
      </c>
      <c r="F527" s="34" t="str">
        <f t="shared" si="15"/>
        <v>#REF!</v>
      </c>
      <c r="G527" s="34" t="str">
        <f t="shared" si="16"/>
        <v>#REF!</v>
      </c>
      <c r="H527" s="54" t="s">
        <v>21</v>
      </c>
      <c r="I527" s="81" t="s">
        <v>101</v>
      </c>
      <c r="J527" s="54"/>
      <c r="K527" s="42"/>
      <c r="L527" s="42"/>
      <c r="M527" s="38">
        <v>36666.0</v>
      </c>
      <c r="N527" s="42"/>
      <c r="O527" s="42"/>
      <c r="P527" s="43" t="s">
        <v>61</v>
      </c>
    </row>
    <row r="528">
      <c r="A528" s="33">
        <v>342.0</v>
      </c>
      <c r="B528" s="34">
        <v>342.0</v>
      </c>
      <c r="C528" s="34" t="str">
        <f>IFERROR(__xludf.DUMMYFUNCTION("if(B528&lt;=999,if(B528&lt;=99,IF(B528&lt;=9,join(,""000"",B528),join(,""00"",B528)),join(,""0"",B528)),B528)"),"0342")</f>
        <v>0342</v>
      </c>
      <c r="D528" s="35" t="s">
        <v>1175</v>
      </c>
      <c r="E528" s="34" t="s">
        <v>35</v>
      </c>
      <c r="F528" s="34" t="str">
        <f t="shared" si="15"/>
        <v>#REF!</v>
      </c>
      <c r="G528" s="34" t="str">
        <f t="shared" si="16"/>
        <v>#REF!</v>
      </c>
      <c r="H528" s="36" t="s">
        <v>21</v>
      </c>
      <c r="I528" s="37"/>
      <c r="J528" s="36"/>
      <c r="K528" s="38"/>
      <c r="L528" s="42"/>
      <c r="M528" s="38" t="e">
        <v>#N/A</v>
      </c>
      <c r="N528" s="38"/>
      <c r="O528" s="38"/>
      <c r="P528" s="39"/>
    </row>
    <row r="529">
      <c r="A529" s="51">
        <v>1228.0</v>
      </c>
      <c r="B529" s="51">
        <v>1228.0</v>
      </c>
      <c r="C529" s="34">
        <f>IFERROR(__xludf.DUMMYFUNCTION("if(B529&lt;=999,if(B529&lt;=99,IF(B529&lt;=9,join(,""000"",B529),join(,""00"",B529)),join(,""0"",B529)),B529)"),1228.0)</f>
        <v>1228</v>
      </c>
      <c r="D529" s="52" t="s">
        <v>1176</v>
      </c>
      <c r="E529" s="34" t="s">
        <v>20</v>
      </c>
      <c r="F529" s="34" t="str">
        <f t="shared" si="15"/>
        <v>#REF!</v>
      </c>
      <c r="G529" s="34" t="str">
        <f t="shared" si="16"/>
        <v>#REF!</v>
      </c>
      <c r="H529" s="54" t="s">
        <v>21</v>
      </c>
      <c r="I529" s="37" t="s">
        <v>22</v>
      </c>
      <c r="J529" s="54" t="s">
        <v>20</v>
      </c>
      <c r="K529" s="42" t="s">
        <v>783</v>
      </c>
      <c r="L529" s="42" t="s">
        <v>1177</v>
      </c>
      <c r="M529" s="38" t="e">
        <v>#N/A</v>
      </c>
      <c r="N529" s="42" t="s">
        <v>25</v>
      </c>
      <c r="O529" s="42" t="s">
        <v>188</v>
      </c>
      <c r="P529" s="59" t="s">
        <v>1178</v>
      </c>
    </row>
    <row r="530">
      <c r="A530" s="33">
        <v>809.0</v>
      </c>
      <c r="B530" s="34">
        <v>809.0</v>
      </c>
      <c r="C530" s="34" t="str">
        <f>IFERROR(__xludf.DUMMYFUNCTION("if(B530&lt;=999,if(B530&lt;=99,IF(B530&lt;=9,join(,""000"",B530),join(,""00"",B530)),join(,""0"",B530)),B530)"),"0809")</f>
        <v>0809</v>
      </c>
      <c r="D530" s="35" t="s">
        <v>1179</v>
      </c>
      <c r="E530" s="34" t="s">
        <v>20</v>
      </c>
      <c r="F530" s="34" t="str">
        <f t="shared" si="15"/>
        <v>#REF!</v>
      </c>
      <c r="G530" s="34" t="str">
        <f t="shared" si="16"/>
        <v>#REF!</v>
      </c>
      <c r="H530" s="36" t="s">
        <v>21</v>
      </c>
      <c r="I530" s="37" t="s">
        <v>63</v>
      </c>
      <c r="J530" s="36" t="s">
        <v>35</v>
      </c>
      <c r="K530" s="38"/>
      <c r="L530" s="42"/>
      <c r="M530" s="38" t="e">
        <v>#N/A</v>
      </c>
      <c r="N530" s="38"/>
      <c r="O530" s="38"/>
      <c r="P530" s="39" t="s">
        <v>43</v>
      </c>
    </row>
    <row r="531">
      <c r="A531" s="51">
        <v>536.0</v>
      </c>
      <c r="B531" s="51">
        <v>536.0</v>
      </c>
      <c r="C531" s="34" t="str">
        <f>IFERROR(__xludf.DUMMYFUNCTION("if(B531&lt;=999,if(B531&lt;=99,IF(B531&lt;=9,join(,""000"",B531),join(,""00"",B531)),join(,""0"",B531)),B531)"),"0536")</f>
        <v>0536</v>
      </c>
      <c r="D531" s="52" t="s">
        <v>1180</v>
      </c>
      <c r="E531" s="53" t="s">
        <v>35</v>
      </c>
      <c r="F531" s="34" t="str">
        <f t="shared" si="15"/>
        <v>#REF!</v>
      </c>
      <c r="G531" s="34" t="str">
        <f t="shared" si="16"/>
        <v>#REF!</v>
      </c>
      <c r="H531" s="54" t="s">
        <v>21</v>
      </c>
      <c r="I531" s="81"/>
      <c r="J531" s="54"/>
      <c r="K531" s="42"/>
      <c r="L531" s="42"/>
      <c r="M531" s="38" t="e">
        <v>#N/A</v>
      </c>
      <c r="N531" s="42"/>
      <c r="O531" s="42"/>
      <c r="P531" s="43"/>
    </row>
    <row r="532">
      <c r="A532" s="33">
        <v>797.0</v>
      </c>
      <c r="B532" s="34">
        <v>797.0</v>
      </c>
      <c r="C532" s="34" t="str">
        <f>IFERROR(__xludf.DUMMYFUNCTION("if(B532&lt;=999,if(B532&lt;=99,IF(B532&lt;=9,join(,""000"",B532),join(,""00"",B532)),join(,""0"",B532)),B532)"),"0797")</f>
        <v>0797</v>
      </c>
      <c r="D532" s="35" t="s">
        <v>1181</v>
      </c>
      <c r="E532" s="34" t="s">
        <v>20</v>
      </c>
      <c r="F532" s="34" t="str">
        <f t="shared" si="15"/>
        <v>#REF!</v>
      </c>
      <c r="G532" s="34" t="str">
        <f t="shared" si="16"/>
        <v>#REF!</v>
      </c>
      <c r="H532" s="36" t="s">
        <v>21</v>
      </c>
      <c r="I532" s="37" t="s">
        <v>34</v>
      </c>
      <c r="J532" s="36" t="s">
        <v>35</v>
      </c>
      <c r="K532" s="38"/>
      <c r="L532" s="42"/>
      <c r="M532" s="38" t="e">
        <v>#N/A</v>
      </c>
      <c r="N532" s="38"/>
      <c r="O532" s="38"/>
      <c r="P532" s="39" t="s">
        <v>43</v>
      </c>
    </row>
    <row r="533">
      <c r="A533" s="33">
        <v>69.0</v>
      </c>
      <c r="B533" s="34">
        <v>69.0</v>
      </c>
      <c r="C533" s="34" t="str">
        <f>IFERROR(__xludf.DUMMYFUNCTION("if(B533&lt;=999,if(B533&lt;=99,IF(B533&lt;=9,join(,""000"",B533),join(,""00"",B533)),join(,""0"",B533)),B533)"),"0069")</f>
        <v>0069</v>
      </c>
      <c r="D533" s="35" t="s">
        <v>1182</v>
      </c>
      <c r="E533" s="34" t="s">
        <v>20</v>
      </c>
      <c r="F533" s="34" t="str">
        <f t="shared" si="15"/>
        <v>#REF!</v>
      </c>
      <c r="G533" s="34" t="str">
        <f t="shared" si="16"/>
        <v>#REF!</v>
      </c>
      <c r="H533" s="36" t="s">
        <v>21</v>
      </c>
      <c r="I533" s="37" t="s">
        <v>22</v>
      </c>
      <c r="J533" s="36" t="s">
        <v>35</v>
      </c>
      <c r="K533" s="38"/>
      <c r="L533" s="42"/>
      <c r="M533" s="38">
        <v>80.0</v>
      </c>
      <c r="N533" s="38"/>
      <c r="O533" s="38"/>
      <c r="P533" s="39" t="s">
        <v>43</v>
      </c>
    </row>
    <row r="534">
      <c r="A534" s="51">
        <v>253.0</v>
      </c>
      <c r="B534" s="51">
        <v>253.0</v>
      </c>
      <c r="C534" s="34" t="str">
        <f>IFERROR(__xludf.DUMMYFUNCTION("if(B534&lt;=999,if(B534&lt;=99,IF(B534&lt;=9,join(,""000"",B534),join(,""00"",B534)),join(,""0"",B534)),B534)"),"0253")</f>
        <v>0253</v>
      </c>
      <c r="D534" s="52" t="s">
        <v>1183</v>
      </c>
      <c r="E534" s="53" t="s">
        <v>20</v>
      </c>
      <c r="F534" s="34" t="str">
        <f t="shared" si="15"/>
        <v>#REF!</v>
      </c>
      <c r="G534" s="34" t="str">
        <f t="shared" si="16"/>
        <v>#REF!</v>
      </c>
      <c r="H534" s="54" t="s">
        <v>21</v>
      </c>
      <c r="I534" s="37" t="s">
        <v>22</v>
      </c>
      <c r="J534" s="54" t="s">
        <v>35</v>
      </c>
      <c r="K534" s="42"/>
      <c r="L534" s="42"/>
      <c r="M534" s="38">
        <v>34567.0</v>
      </c>
      <c r="N534" s="42"/>
      <c r="O534" s="42"/>
      <c r="P534" s="43" t="s">
        <v>46</v>
      </c>
    </row>
    <row r="535">
      <c r="A535" s="33">
        <v>1246.0</v>
      </c>
      <c r="B535" s="34">
        <v>1246.0</v>
      </c>
      <c r="C535" s="34">
        <f>IFERROR(__xludf.DUMMYFUNCTION("if(B535&lt;=999,if(B535&lt;=99,IF(B535&lt;=9,join(,""000"",B535),join(,""00"",B535)),join(,""0"",B535)),B535)"),1246.0)</f>
        <v>1246</v>
      </c>
      <c r="D535" s="35" t="s">
        <v>1184</v>
      </c>
      <c r="E535" s="34" t="s">
        <v>35</v>
      </c>
      <c r="F535" s="34" t="str">
        <f t="shared" si="15"/>
        <v>#REF!</v>
      </c>
      <c r="G535" s="34" t="str">
        <f t="shared" si="16"/>
        <v>#REF!</v>
      </c>
      <c r="H535" s="36" t="s">
        <v>21</v>
      </c>
      <c r="I535" s="37"/>
      <c r="J535" s="36"/>
      <c r="K535" s="38"/>
      <c r="L535" s="42"/>
      <c r="M535" s="38" t="e">
        <v>#N/A</v>
      </c>
      <c r="N535" s="38"/>
      <c r="O535" s="38"/>
      <c r="P535" s="39"/>
    </row>
    <row r="536">
      <c r="A536" s="51">
        <v>462.0</v>
      </c>
      <c r="B536" s="51">
        <v>462.0</v>
      </c>
      <c r="C536" s="34" t="str">
        <f>IFERROR(__xludf.DUMMYFUNCTION("if(B536&lt;=999,if(B536&lt;=99,IF(B536&lt;=9,join(,""000"",B536),join(,""00"",B536)),join(,""0"",B536)),B536)"),"0462")</f>
        <v>0462</v>
      </c>
      <c r="D536" s="52" t="s">
        <v>1185</v>
      </c>
      <c r="E536" s="53" t="s">
        <v>20</v>
      </c>
      <c r="F536" s="34" t="str">
        <f t="shared" si="15"/>
        <v>#REF!</v>
      </c>
      <c r="G536" s="34" t="str">
        <f t="shared" si="16"/>
        <v>#REF!</v>
      </c>
      <c r="H536" s="54" t="s">
        <v>21</v>
      </c>
      <c r="I536" s="81"/>
      <c r="J536" s="54" t="s">
        <v>35</v>
      </c>
      <c r="K536" s="42" t="s">
        <v>95</v>
      </c>
      <c r="L536" s="36" t="s">
        <v>1186</v>
      </c>
      <c r="M536" s="38">
        <v>8.0</v>
      </c>
      <c r="N536" s="62" t="s">
        <v>25</v>
      </c>
      <c r="O536" s="62" t="s">
        <v>86</v>
      </c>
      <c r="P536" s="43"/>
    </row>
    <row r="537">
      <c r="A537" s="51">
        <v>1193.0</v>
      </c>
      <c r="B537" s="51">
        <v>1193.0</v>
      </c>
      <c r="C537" s="34">
        <f>IFERROR(__xludf.DUMMYFUNCTION("if(B537&lt;=999,if(B537&lt;=99,IF(B537&lt;=9,join(,""000"",B537),join(,""00"",B537)),join(,""0"",B537)),B537)"),1193.0)</f>
        <v>1193</v>
      </c>
      <c r="D537" s="52" t="s">
        <v>1187</v>
      </c>
      <c r="E537" s="53" t="s">
        <v>20</v>
      </c>
      <c r="F537" s="34" t="str">
        <f t="shared" si="15"/>
        <v>#REF!</v>
      </c>
      <c r="G537" s="34" t="str">
        <f t="shared" si="16"/>
        <v>#REF!</v>
      </c>
      <c r="H537" s="54" t="s">
        <v>21</v>
      </c>
      <c r="I537" s="37" t="s">
        <v>22</v>
      </c>
      <c r="J537" s="54" t="s">
        <v>35</v>
      </c>
      <c r="K537" s="42" t="s">
        <v>28</v>
      </c>
      <c r="L537" s="42"/>
      <c r="M537" s="38" t="s">
        <v>1188</v>
      </c>
      <c r="N537" s="62" t="s">
        <v>25</v>
      </c>
      <c r="O537" s="62" t="s">
        <v>86</v>
      </c>
      <c r="P537" s="43" t="s">
        <v>43</v>
      </c>
    </row>
    <row r="538">
      <c r="A538" s="51">
        <v>1401.0</v>
      </c>
      <c r="B538" s="51">
        <v>1401.0</v>
      </c>
      <c r="C538" s="34">
        <f>IFERROR(__xludf.DUMMYFUNCTION("if(B538&lt;=999,if(B538&lt;=99,IF(B538&lt;=9,join(,""000"",B538),join(,""00"",B538)),join(,""0"",B538)),B538)"),1401.0)</f>
        <v>1401</v>
      </c>
      <c r="D538" s="52" t="s">
        <v>1189</v>
      </c>
      <c r="E538" s="53" t="s">
        <v>20</v>
      </c>
      <c r="F538" s="34" t="str">
        <f t="shared" si="15"/>
        <v>#REF!</v>
      </c>
      <c r="G538" s="34" t="str">
        <f t="shared" si="16"/>
        <v>#REF!</v>
      </c>
      <c r="H538" s="54" t="s">
        <v>21</v>
      </c>
      <c r="I538" s="37" t="s">
        <v>22</v>
      </c>
      <c r="J538" s="54" t="s">
        <v>20</v>
      </c>
      <c r="K538" s="42" t="s">
        <v>95</v>
      </c>
      <c r="L538" s="36" t="s">
        <v>1190</v>
      </c>
      <c r="M538" s="38"/>
      <c r="N538" s="62" t="s">
        <v>104</v>
      </c>
      <c r="O538" s="62" t="s">
        <v>1191</v>
      </c>
      <c r="P538" s="43"/>
    </row>
    <row r="539">
      <c r="A539" s="51">
        <v>1339.0</v>
      </c>
      <c r="B539" s="51">
        <v>1339.0</v>
      </c>
      <c r="C539" s="34">
        <f>IFERROR(__xludf.DUMMYFUNCTION("if(B539&lt;=999,if(B539&lt;=99,IF(B539&lt;=9,join(,""000"",B539),join(,""00"",B539)),join(,""0"",B539)),B539)"),1339.0)</f>
        <v>1339</v>
      </c>
      <c r="D539" s="52" t="s">
        <v>1192</v>
      </c>
      <c r="E539" s="53" t="s">
        <v>20</v>
      </c>
      <c r="F539" s="34" t="str">
        <f t="shared" si="15"/>
        <v>#REF!</v>
      </c>
      <c r="G539" s="34" t="str">
        <f t="shared" si="16"/>
        <v>#REF!</v>
      </c>
      <c r="H539" s="54" t="s">
        <v>21</v>
      </c>
      <c r="I539" s="37" t="s">
        <v>101</v>
      </c>
      <c r="J539" s="54" t="s">
        <v>35</v>
      </c>
      <c r="K539" s="42" t="s">
        <v>95</v>
      </c>
      <c r="L539" s="36" t="s">
        <v>1193</v>
      </c>
      <c r="M539" s="38" t="s">
        <v>1194</v>
      </c>
      <c r="N539" s="62" t="s">
        <v>25</v>
      </c>
      <c r="O539" s="62" t="s">
        <v>55</v>
      </c>
      <c r="P539" s="43"/>
    </row>
    <row r="540">
      <c r="A540" s="51">
        <v>1338.0</v>
      </c>
      <c r="B540" s="51">
        <v>1338.0</v>
      </c>
      <c r="C540" s="34">
        <f>IFERROR(__xludf.DUMMYFUNCTION("if(B540&lt;=999,if(B540&lt;=99,IF(B540&lt;=9,join(,""000"",B540),join(,""00"",B540)),join(,""0"",B540)),B540)"),1338.0)</f>
        <v>1338</v>
      </c>
      <c r="D540" s="52" t="s">
        <v>1195</v>
      </c>
      <c r="E540" s="53" t="s">
        <v>20</v>
      </c>
      <c r="F540" s="34" t="str">
        <f t="shared" si="15"/>
        <v>#REF!</v>
      </c>
      <c r="G540" s="34" t="str">
        <f t="shared" si="16"/>
        <v>#REF!</v>
      </c>
      <c r="H540" s="54" t="s">
        <v>21</v>
      </c>
      <c r="I540" s="81" t="s">
        <v>101</v>
      </c>
      <c r="J540" s="54" t="s">
        <v>35</v>
      </c>
      <c r="K540" s="42"/>
      <c r="L540" s="42"/>
      <c r="M540" s="38">
        <v>6036.0</v>
      </c>
      <c r="N540" s="42"/>
      <c r="O540" s="42"/>
      <c r="P540" s="43" t="s">
        <v>43</v>
      </c>
    </row>
    <row r="541">
      <c r="A541" s="33">
        <v>115.0</v>
      </c>
      <c r="B541" s="34">
        <v>115.0</v>
      </c>
      <c r="C541" s="34" t="str">
        <f>IFERROR(__xludf.DUMMYFUNCTION("if(B541&lt;=999,if(B541&lt;=99,IF(B541&lt;=9,join(,""000"",B541),join(,""00"",B541)),join(,""0"",B541)),B541)"),"0115")</f>
        <v>0115</v>
      </c>
      <c r="D541" s="35" t="s">
        <v>1196</v>
      </c>
      <c r="E541" s="34" t="s">
        <v>20</v>
      </c>
      <c r="F541" s="34" t="str">
        <f t="shared" si="15"/>
        <v>#REF!</v>
      </c>
      <c r="G541" s="34" t="str">
        <f t="shared" si="16"/>
        <v>#REF!</v>
      </c>
      <c r="H541" s="36" t="s">
        <v>21</v>
      </c>
      <c r="I541" s="37" t="s">
        <v>22</v>
      </c>
      <c r="J541" s="36" t="s">
        <v>35</v>
      </c>
      <c r="K541" s="38"/>
      <c r="L541" s="42"/>
      <c r="M541" s="38">
        <v>16.0</v>
      </c>
      <c r="N541" s="38"/>
      <c r="O541" s="38"/>
      <c r="P541" s="39" t="s">
        <v>43</v>
      </c>
    </row>
    <row r="542">
      <c r="A542" s="33">
        <v>1351.0</v>
      </c>
      <c r="B542" s="34">
        <v>1351.0</v>
      </c>
      <c r="C542" s="34">
        <f>IFERROR(__xludf.DUMMYFUNCTION("if(B542&lt;=999,if(B542&lt;=99,IF(B542&lt;=9,join(,""000"",B542),join(,""00"",B542)),join(,""0"",B542)),B542)"),1351.0)</f>
        <v>1351</v>
      </c>
      <c r="D542" s="35" t="s">
        <v>1197</v>
      </c>
      <c r="E542" s="34" t="s">
        <v>20</v>
      </c>
      <c r="F542" s="34" t="str">
        <f t="shared" si="15"/>
        <v>#REF!</v>
      </c>
      <c r="G542" s="34" t="str">
        <f t="shared" si="16"/>
        <v>#REF!</v>
      </c>
      <c r="H542" s="36" t="s">
        <v>21</v>
      </c>
      <c r="I542" s="37" t="s">
        <v>1198</v>
      </c>
      <c r="J542" s="36" t="s">
        <v>35</v>
      </c>
      <c r="K542" s="38"/>
      <c r="L542" s="42"/>
      <c r="M542" s="38" t="s">
        <v>1199</v>
      </c>
      <c r="N542" s="38"/>
      <c r="O542" s="38"/>
      <c r="P542" s="39" t="s">
        <v>61</v>
      </c>
    </row>
    <row r="543">
      <c r="A543" s="51">
        <v>1231.0</v>
      </c>
      <c r="B543" s="51">
        <v>1231.0</v>
      </c>
      <c r="C543" s="34">
        <f>IFERROR(__xludf.DUMMYFUNCTION("if(B543&lt;=999,if(B543&lt;=99,IF(B543&lt;=9,join(,""000"",B543),join(,""00"",B543)),join(,""0"",B543)),B543)"),1231.0)</f>
        <v>1231</v>
      </c>
      <c r="D543" s="52" t="s">
        <v>1200</v>
      </c>
      <c r="E543" s="53" t="s">
        <v>20</v>
      </c>
      <c r="F543" s="34" t="str">
        <f t="shared" si="15"/>
        <v>#REF!</v>
      </c>
      <c r="G543" s="34" t="str">
        <f t="shared" si="16"/>
        <v>#REF!</v>
      </c>
      <c r="H543" s="54" t="s">
        <v>21</v>
      </c>
      <c r="I543" s="81" t="s">
        <v>101</v>
      </c>
      <c r="J543" s="54" t="s">
        <v>20</v>
      </c>
      <c r="K543" s="42"/>
      <c r="L543" s="42"/>
      <c r="M543" s="38" t="s">
        <v>1199</v>
      </c>
      <c r="N543" s="42"/>
      <c r="O543" s="42"/>
      <c r="P543" s="43" t="s">
        <v>61</v>
      </c>
    </row>
    <row r="544">
      <c r="A544" s="33">
        <v>1319.0</v>
      </c>
      <c r="B544" s="34">
        <v>1319.0</v>
      </c>
      <c r="C544" s="34">
        <f>IFERROR(__xludf.DUMMYFUNCTION("if(B544&lt;=999,if(B544&lt;=99,IF(B544&lt;=9,join(,""000"",B544),join(,""00"",B544)),join(,""0"",B544)),B544)"),1319.0)</f>
        <v>1319</v>
      </c>
      <c r="D544" s="35" t="s">
        <v>1201</v>
      </c>
      <c r="E544" s="34" t="s">
        <v>35</v>
      </c>
      <c r="F544" s="34" t="str">
        <f t="shared" si="15"/>
        <v>#REF!</v>
      </c>
      <c r="G544" s="34" t="str">
        <f t="shared" si="16"/>
        <v>#REF!</v>
      </c>
      <c r="H544" s="36" t="s">
        <v>21</v>
      </c>
      <c r="I544" s="37"/>
      <c r="J544" s="36"/>
      <c r="K544" s="38"/>
      <c r="L544" s="42"/>
      <c r="M544" s="38" t="e">
        <v>#N/A</v>
      </c>
      <c r="N544" s="38"/>
      <c r="O544" s="38"/>
      <c r="P544" s="39"/>
    </row>
    <row r="545">
      <c r="A545" s="51">
        <v>1434.0</v>
      </c>
      <c r="B545" s="51">
        <v>1434.0</v>
      </c>
      <c r="C545" s="34">
        <f>IFERROR(__xludf.DUMMYFUNCTION("if(B545&lt;=999,if(B545&lt;=99,IF(B545&lt;=9,join(,""000"",B545),join(,""00"",B545)),join(,""0"",B545)),B545)"),1434.0)</f>
        <v>1434</v>
      </c>
      <c r="D545" s="52" t="s">
        <v>1202</v>
      </c>
      <c r="E545" s="53" t="s">
        <v>20</v>
      </c>
      <c r="F545" s="34" t="str">
        <f t="shared" si="15"/>
        <v>#REF!</v>
      </c>
      <c r="G545" s="34" t="str">
        <f t="shared" si="16"/>
        <v>#REF!</v>
      </c>
      <c r="H545" s="54" t="s">
        <v>21</v>
      </c>
      <c r="I545" s="81" t="s">
        <v>101</v>
      </c>
      <c r="J545" s="54" t="s">
        <v>35</v>
      </c>
      <c r="K545" s="42"/>
      <c r="L545" s="42"/>
      <c r="M545" s="38">
        <v>16.0</v>
      </c>
      <c r="N545" s="42"/>
      <c r="O545" s="42"/>
      <c r="P545" s="43" t="s">
        <v>1134</v>
      </c>
    </row>
    <row r="546">
      <c r="A546" s="51">
        <v>1201.0</v>
      </c>
      <c r="B546" s="51">
        <v>1201.0</v>
      </c>
      <c r="C546" s="34">
        <f>IFERROR(__xludf.DUMMYFUNCTION("if(B546&lt;=999,if(B546&lt;=99,IF(B546&lt;=9,join(,""000"",B546),join(,""00"",B546)),join(,""0"",B546)),B546)"),1201.0)</f>
        <v>1201</v>
      </c>
      <c r="D546" s="52" t="s">
        <v>1203</v>
      </c>
      <c r="E546" s="53" t="s">
        <v>20</v>
      </c>
      <c r="F546" s="34" t="str">
        <f t="shared" si="15"/>
        <v>#REF!</v>
      </c>
      <c r="G546" s="34" t="str">
        <f t="shared" si="16"/>
        <v>#REF!</v>
      </c>
      <c r="H546" s="54" t="s">
        <v>21</v>
      </c>
      <c r="I546" s="81" t="s">
        <v>101</v>
      </c>
      <c r="J546" s="54"/>
      <c r="K546" s="42"/>
      <c r="L546" s="42"/>
      <c r="M546" s="38" t="s">
        <v>469</v>
      </c>
      <c r="N546" s="42"/>
      <c r="O546" s="42"/>
      <c r="P546" s="43" t="s">
        <v>46</v>
      </c>
    </row>
    <row r="547">
      <c r="A547" s="51">
        <v>463.0</v>
      </c>
      <c r="B547" s="51">
        <v>463.0</v>
      </c>
      <c r="C547" s="34" t="str">
        <f>IFERROR(__xludf.DUMMYFUNCTION("if(B547&lt;=999,if(B547&lt;=99,IF(B547&lt;=9,join(,""000"",B547),join(,""00"",B547)),join(,""0"",B547)),B547)"),"0463")</f>
        <v>0463</v>
      </c>
      <c r="D547" s="52" t="s">
        <v>1204</v>
      </c>
      <c r="E547" s="53" t="s">
        <v>20</v>
      </c>
      <c r="F547" s="34" t="str">
        <f t="shared" si="15"/>
        <v>#REF!</v>
      </c>
      <c r="G547" s="34" t="str">
        <f t="shared" si="16"/>
        <v>#REF!</v>
      </c>
      <c r="H547" s="54" t="s">
        <v>21</v>
      </c>
      <c r="I547" s="37" t="s">
        <v>77</v>
      </c>
      <c r="J547" s="54" t="s">
        <v>35</v>
      </c>
      <c r="K547" s="42"/>
      <c r="L547" s="42"/>
      <c r="M547" s="38">
        <v>16.0</v>
      </c>
      <c r="N547" s="42"/>
      <c r="O547" s="42"/>
      <c r="P547" s="43" t="s">
        <v>327</v>
      </c>
    </row>
    <row r="548">
      <c r="A548" s="51">
        <v>1196.0</v>
      </c>
      <c r="B548" s="51">
        <v>1196.0</v>
      </c>
      <c r="C548" s="34">
        <f>IFERROR(__xludf.DUMMYFUNCTION("if(B548&lt;=999,if(B548&lt;=99,IF(B548&lt;=9,join(,""000"",B548),join(,""00"",B548)),join(,""0"",B548)),B548)"),1196.0)</f>
        <v>1196</v>
      </c>
      <c r="D548" s="52" t="s">
        <v>1205</v>
      </c>
      <c r="E548" s="53" t="s">
        <v>20</v>
      </c>
      <c r="F548" s="34" t="str">
        <f t="shared" si="15"/>
        <v>#REF!</v>
      </c>
      <c r="G548" s="34" t="str">
        <f t="shared" si="16"/>
        <v>#REF!</v>
      </c>
      <c r="H548" s="54" t="s">
        <v>21</v>
      </c>
      <c r="I548" s="37" t="s">
        <v>34</v>
      </c>
      <c r="J548" s="54" t="s">
        <v>35</v>
      </c>
      <c r="K548" s="42"/>
      <c r="L548" s="42"/>
      <c r="M548" s="38">
        <v>16.0</v>
      </c>
      <c r="N548" s="42"/>
      <c r="O548" s="42"/>
      <c r="P548" s="43" t="s">
        <v>43</v>
      </c>
    </row>
    <row r="549">
      <c r="A549" s="33">
        <v>22.0</v>
      </c>
      <c r="B549" s="34">
        <v>22.0</v>
      </c>
      <c r="C549" s="34" t="str">
        <f>IFERROR(__xludf.DUMMYFUNCTION("if(B549&lt;=999,if(B549&lt;=99,IF(B549&lt;=9,join(,""000"",B549),join(,""00"",B549)),join(,""0"",B549)),B549)"),"0022")</f>
        <v>0022</v>
      </c>
      <c r="D549" s="35" t="s">
        <v>1206</v>
      </c>
      <c r="E549" s="34" t="s">
        <v>20</v>
      </c>
      <c r="F549" s="34" t="str">
        <f t="shared" si="15"/>
        <v>#REF!</v>
      </c>
      <c r="G549" s="34" t="str">
        <f t="shared" si="16"/>
        <v>#REF!</v>
      </c>
      <c r="H549" s="36" t="s">
        <v>21</v>
      </c>
      <c r="I549" s="37" t="s">
        <v>77</v>
      </c>
      <c r="J549" s="36" t="s">
        <v>20</v>
      </c>
      <c r="K549" s="38" t="s">
        <v>137</v>
      </c>
      <c r="L549" s="38" t="s">
        <v>1207</v>
      </c>
      <c r="M549" s="38">
        <v>16.0</v>
      </c>
      <c r="N549" s="38" t="s">
        <v>25</v>
      </c>
      <c r="O549" s="38" t="s">
        <v>606</v>
      </c>
      <c r="P549" s="39" t="s">
        <v>82</v>
      </c>
    </row>
    <row r="550">
      <c r="A550" s="51">
        <v>1407.0</v>
      </c>
      <c r="B550" s="51">
        <v>1407.0</v>
      </c>
      <c r="C550" s="34">
        <f>IFERROR(__xludf.DUMMYFUNCTION("if(B550&lt;=999,if(B550&lt;=99,IF(B550&lt;=9,join(,""000"",B550),join(,""00"",B550)),join(,""0"",B550)),B550)"),1407.0)</f>
        <v>1407</v>
      </c>
      <c r="D550" s="52" t="s">
        <v>1208</v>
      </c>
      <c r="E550" s="53" t="s">
        <v>20</v>
      </c>
      <c r="F550" s="34" t="str">
        <f t="shared" si="15"/>
        <v>#REF!</v>
      </c>
      <c r="G550" s="34" t="str">
        <f t="shared" si="16"/>
        <v>#REF!</v>
      </c>
      <c r="H550" s="54" t="s">
        <v>21</v>
      </c>
      <c r="I550" s="37" t="s">
        <v>22</v>
      </c>
      <c r="J550" s="54" t="s">
        <v>35</v>
      </c>
      <c r="K550" s="42"/>
      <c r="L550" s="42"/>
      <c r="M550" s="38">
        <v>80.0</v>
      </c>
      <c r="N550" s="42"/>
      <c r="O550" s="42"/>
      <c r="P550" s="43" t="s">
        <v>1209</v>
      </c>
    </row>
    <row r="551">
      <c r="A551" s="51">
        <v>1132.0</v>
      </c>
      <c r="B551" s="51">
        <v>1132.0</v>
      </c>
      <c r="C551" s="34">
        <f>IFERROR(__xludf.DUMMYFUNCTION("if(B551&lt;=999,if(B551&lt;=99,IF(B551&lt;=9,join(,""000"",B551),join(,""00"",B551)),join(,""0"",B551)),B551)"),1132.0)</f>
        <v>1132</v>
      </c>
      <c r="D551" s="52" t="s">
        <v>1210</v>
      </c>
      <c r="E551" s="34" t="s">
        <v>20</v>
      </c>
      <c r="F551" s="34" t="str">
        <f t="shared" si="15"/>
        <v>#REF!</v>
      </c>
      <c r="G551" s="34" t="str">
        <f t="shared" si="16"/>
        <v>#REF!</v>
      </c>
      <c r="H551" s="54" t="s">
        <v>21</v>
      </c>
      <c r="I551" s="37" t="s">
        <v>99</v>
      </c>
      <c r="J551" s="54" t="s">
        <v>35</v>
      </c>
      <c r="K551" s="92"/>
      <c r="L551" s="42"/>
      <c r="M551" s="38" t="e">
        <v>#N/A</v>
      </c>
      <c r="N551" s="92"/>
      <c r="O551" s="92"/>
      <c r="P551" s="92" t="s">
        <v>66</v>
      </c>
    </row>
    <row r="552">
      <c r="A552" s="55">
        <v>529.0</v>
      </c>
      <c r="B552" s="55">
        <v>529.0</v>
      </c>
      <c r="C552" s="45" t="str">
        <f>IFERROR(__xludf.DUMMYFUNCTION("if(B552&lt;=999,if(B552&lt;=99,IF(B552&lt;=9,join(,""000"",B552),join(,""00"",B552)),join(,""0"",B552)),B552)"),"0529")</f>
        <v>0529</v>
      </c>
      <c r="D552" s="56" t="s">
        <v>1211</v>
      </c>
      <c r="E552" s="55" t="s">
        <v>20</v>
      </c>
      <c r="F552" s="45" t="str">
        <f t="shared" si="15"/>
        <v>#REF!</v>
      </c>
      <c r="G552" s="45" t="str">
        <f t="shared" si="16"/>
        <v>#REF!</v>
      </c>
      <c r="H552" s="57" t="s">
        <v>21</v>
      </c>
      <c r="I552" s="83" t="s">
        <v>101</v>
      </c>
      <c r="J552" s="57" t="s">
        <v>35</v>
      </c>
      <c r="K552" s="60" t="s">
        <v>783</v>
      </c>
      <c r="L552" s="60" t="s">
        <v>1212</v>
      </c>
      <c r="M552" s="49">
        <v>5000.0</v>
      </c>
      <c r="N552" s="60" t="s">
        <v>25</v>
      </c>
      <c r="O552" s="60" t="s">
        <v>55</v>
      </c>
      <c r="P552" s="61" t="s">
        <v>70</v>
      </c>
    </row>
    <row r="553">
      <c r="A553" s="55">
        <v>235.0</v>
      </c>
      <c r="B553" s="55">
        <v>235.0</v>
      </c>
      <c r="C553" s="45" t="str">
        <f>IFERROR(__xludf.DUMMYFUNCTION("if(B553&lt;=999,if(B553&lt;=99,IF(B553&lt;=9,join(,""000"",B553),join(,""00"",B553)),join(,""0"",B553)),B553)"),"0235")</f>
        <v>0235</v>
      </c>
      <c r="D553" s="56" t="s">
        <v>1213</v>
      </c>
      <c r="E553" s="55" t="s">
        <v>20</v>
      </c>
      <c r="F553" s="45" t="str">
        <f t="shared" si="15"/>
        <v>#REF!</v>
      </c>
      <c r="G553" s="45" t="str">
        <f t="shared" si="16"/>
        <v>#REF!</v>
      </c>
      <c r="H553" s="57" t="s">
        <v>21</v>
      </c>
      <c r="I553" s="83" t="s">
        <v>101</v>
      </c>
      <c r="J553" s="57"/>
      <c r="K553" s="60" t="s">
        <v>355</v>
      </c>
      <c r="L553" s="60" t="s">
        <v>566</v>
      </c>
      <c r="M553" s="49" t="s">
        <v>1214</v>
      </c>
      <c r="N553" s="60" t="s">
        <v>25</v>
      </c>
      <c r="O553" s="60" t="s">
        <v>163</v>
      </c>
      <c r="P553" s="61" t="s">
        <v>97</v>
      </c>
    </row>
    <row r="554">
      <c r="A554" s="33">
        <v>1045.0</v>
      </c>
      <c r="B554" s="34">
        <v>1045.0</v>
      </c>
      <c r="C554" s="34">
        <f>IFERROR(__xludf.DUMMYFUNCTION("if(B554&lt;=999,if(B554&lt;=99,IF(B554&lt;=9,join(,""000"",B554),join(,""00"",B554)),join(,""0"",B554)),B554)"),1045.0)</f>
        <v>1045</v>
      </c>
      <c r="D554" s="35" t="s">
        <v>1215</v>
      </c>
      <c r="E554" s="34" t="s">
        <v>35</v>
      </c>
      <c r="F554" s="34" t="str">
        <f t="shared" si="15"/>
        <v>#REF!</v>
      </c>
      <c r="G554" s="34" t="str">
        <f t="shared" si="16"/>
        <v>#REF!</v>
      </c>
      <c r="H554" s="36" t="s">
        <v>21</v>
      </c>
      <c r="I554" s="37"/>
      <c r="J554" s="36"/>
      <c r="K554" s="38"/>
      <c r="L554" s="42"/>
      <c r="M554" s="38" t="e">
        <v>#N/A</v>
      </c>
      <c r="N554" s="38"/>
      <c r="O554" s="38"/>
      <c r="P554" s="39"/>
    </row>
    <row r="555">
      <c r="A555" s="55">
        <v>1145.0</v>
      </c>
      <c r="B555" s="55">
        <v>1145.0</v>
      </c>
      <c r="C555" s="45">
        <f>IFERROR(__xludf.DUMMYFUNCTION("if(B555&lt;=999,if(B555&lt;=99,IF(B555&lt;=9,join(,""000"",B555),join(,""00"",B555)),join(,""0"",B555)),B555)"),1145.0)</f>
        <v>1145</v>
      </c>
      <c r="D555" s="56" t="s">
        <v>1216</v>
      </c>
      <c r="E555" s="55" t="s">
        <v>20</v>
      </c>
      <c r="F555" s="45" t="str">
        <f t="shared" si="15"/>
        <v>#REF!</v>
      </c>
      <c r="G555" s="45" t="str">
        <f t="shared" si="16"/>
        <v>#REF!</v>
      </c>
      <c r="H555" s="57" t="s">
        <v>21</v>
      </c>
      <c r="I555" s="48" t="s">
        <v>77</v>
      </c>
      <c r="J555" s="57" t="s">
        <v>35</v>
      </c>
      <c r="K555" s="60"/>
      <c r="L555" s="60" t="s">
        <v>1217</v>
      </c>
      <c r="M555" s="49">
        <v>36666.0</v>
      </c>
      <c r="N555" s="60" t="s">
        <v>25</v>
      </c>
      <c r="O555" s="60" t="s">
        <v>55</v>
      </c>
      <c r="P555" s="61" t="s">
        <v>66</v>
      </c>
    </row>
    <row r="556">
      <c r="A556" s="33">
        <v>1040.0</v>
      </c>
      <c r="B556" s="34">
        <v>1040.0</v>
      </c>
      <c r="C556" s="34">
        <f>IFERROR(__xludf.DUMMYFUNCTION("if(B556&lt;=999,if(B556&lt;=99,IF(B556&lt;=9,join(,""000"",B556),join(,""00"",B556)),join(,""0"",B556)),B556)"),1040.0)</f>
        <v>1040</v>
      </c>
      <c r="D556" s="35" t="s">
        <v>1218</v>
      </c>
      <c r="E556" s="34" t="s">
        <v>20</v>
      </c>
      <c r="F556" s="34" t="str">
        <f t="shared" si="15"/>
        <v>#REF!</v>
      </c>
      <c r="G556" s="34" t="str">
        <f t="shared" si="16"/>
        <v>#REF!</v>
      </c>
      <c r="H556" s="36" t="s">
        <v>21</v>
      </c>
      <c r="I556" s="37" t="s">
        <v>101</v>
      </c>
      <c r="J556" s="36" t="s">
        <v>35</v>
      </c>
      <c r="K556" s="38"/>
      <c r="L556" s="42"/>
      <c r="M556" s="38">
        <v>91.0</v>
      </c>
      <c r="N556" s="38"/>
      <c r="O556" s="38"/>
      <c r="P556" s="39" t="s">
        <v>70</v>
      </c>
    </row>
    <row r="557">
      <c r="A557" s="51">
        <v>794.0</v>
      </c>
      <c r="B557" s="51">
        <v>794.0</v>
      </c>
      <c r="C557" s="34" t="str">
        <f>IFERROR(__xludf.DUMMYFUNCTION("if(B557&lt;=999,if(B557&lt;=99,IF(B557&lt;=9,join(,""000"",B557),join(,""00"",B557)),join(,""0"",B557)),B557)"),"0794")</f>
        <v>0794</v>
      </c>
      <c r="D557" s="52" t="s">
        <v>1219</v>
      </c>
      <c r="E557" s="53" t="s">
        <v>20</v>
      </c>
      <c r="F557" s="34" t="str">
        <f t="shared" si="15"/>
        <v>#REF!</v>
      </c>
      <c r="G557" s="34" t="str">
        <f t="shared" si="16"/>
        <v>#REF!</v>
      </c>
      <c r="H557" s="54" t="s">
        <v>21</v>
      </c>
      <c r="I557" s="81" t="s">
        <v>34</v>
      </c>
      <c r="J557" s="54" t="s">
        <v>35</v>
      </c>
      <c r="K557" s="42"/>
      <c r="L557" s="42"/>
      <c r="M557" s="38" t="s">
        <v>1220</v>
      </c>
      <c r="N557" s="42"/>
      <c r="O557" s="42"/>
      <c r="P557" s="43" t="s">
        <v>1097</v>
      </c>
    </row>
    <row r="558">
      <c r="A558" s="51">
        <v>1448.0</v>
      </c>
      <c r="B558" s="51">
        <v>1448.0</v>
      </c>
      <c r="C558" s="34">
        <f>IFERROR(__xludf.DUMMYFUNCTION("if(B558&lt;=999,if(B558&lt;=99,IF(B558&lt;=9,join(,""000"",B558),join(,""00"",B558)),join(,""0"",B558)),B558)"),1448.0)</f>
        <v>1448</v>
      </c>
      <c r="D558" s="52" t="s">
        <v>1221</v>
      </c>
      <c r="E558" s="53" t="s">
        <v>20</v>
      </c>
      <c r="F558" s="34" t="str">
        <f t="shared" si="15"/>
        <v>#REF!</v>
      </c>
      <c r="G558" s="34" t="str">
        <f t="shared" si="16"/>
        <v>#REF!</v>
      </c>
      <c r="H558" s="54" t="s">
        <v>21</v>
      </c>
      <c r="I558" s="37" t="s">
        <v>22</v>
      </c>
      <c r="J558" s="54" t="s">
        <v>35</v>
      </c>
      <c r="K558" s="42"/>
      <c r="L558" s="42"/>
      <c r="M558" s="38">
        <v>8000.0</v>
      </c>
      <c r="N558" s="42"/>
      <c r="O558" s="42"/>
      <c r="P558" s="43" t="s">
        <v>66</v>
      </c>
    </row>
    <row r="559">
      <c r="A559" s="55">
        <v>230.0</v>
      </c>
      <c r="B559" s="55">
        <v>230.0</v>
      </c>
      <c r="C559" s="45" t="str">
        <f>IFERROR(__xludf.DUMMYFUNCTION("if(B559&lt;=999,if(B559&lt;=99,IF(B559&lt;=9,join(,""000"",B559),join(,""00"",B559)),join(,""0"",B559)),B559)"),"0230")</f>
        <v>0230</v>
      </c>
      <c r="D559" s="56" t="s">
        <v>1222</v>
      </c>
      <c r="E559" s="55" t="s">
        <v>20</v>
      </c>
      <c r="F559" s="45" t="str">
        <f t="shared" si="15"/>
        <v>#REF!</v>
      </c>
      <c r="G559" s="45" t="str">
        <f t="shared" si="16"/>
        <v>#REF!</v>
      </c>
      <c r="H559" s="57" t="s">
        <v>21</v>
      </c>
      <c r="I559" s="83" t="s">
        <v>63</v>
      </c>
      <c r="J559" s="57" t="s">
        <v>35</v>
      </c>
      <c r="K559" s="47" t="s">
        <v>1223</v>
      </c>
      <c r="L559" s="47" t="s">
        <v>1224</v>
      </c>
      <c r="M559" s="49" t="e">
        <v>#N/A</v>
      </c>
      <c r="N559" s="58" t="s">
        <v>25</v>
      </c>
      <c r="O559" s="58" t="s">
        <v>1225</v>
      </c>
      <c r="P559" s="61" t="s">
        <v>87</v>
      </c>
    </row>
    <row r="560">
      <c r="A560" s="51">
        <v>635.0</v>
      </c>
      <c r="B560" s="51">
        <v>635.0</v>
      </c>
      <c r="C560" s="34" t="str">
        <f>IFERROR(__xludf.DUMMYFUNCTION("if(B560&lt;=999,if(B560&lt;=99,IF(B560&lt;=9,join(,""000"",B560),join(,""00"",B560)),join(,""0"",B560)),B560)"),"0635")</f>
        <v>0635</v>
      </c>
      <c r="D560" s="52" t="s">
        <v>1226</v>
      </c>
      <c r="E560" s="53" t="s">
        <v>20</v>
      </c>
      <c r="F560" s="34" t="str">
        <f t="shared" si="15"/>
        <v>#REF!</v>
      </c>
      <c r="G560" s="34" t="str">
        <f t="shared" si="16"/>
        <v>#REF!</v>
      </c>
      <c r="H560" s="54" t="s">
        <v>21</v>
      </c>
      <c r="I560" s="81" t="s">
        <v>34</v>
      </c>
      <c r="J560" s="54" t="s">
        <v>20</v>
      </c>
      <c r="K560" s="40" t="s">
        <v>28</v>
      </c>
      <c r="L560" s="36" t="s">
        <v>1227</v>
      </c>
      <c r="M560" s="38">
        <v>91.0</v>
      </c>
      <c r="N560" s="40" t="s">
        <v>1228</v>
      </c>
      <c r="O560" s="36" t="s">
        <v>1229</v>
      </c>
      <c r="P560" s="40"/>
    </row>
    <row r="561">
      <c r="A561" s="55">
        <v>1357.0</v>
      </c>
      <c r="B561" s="55">
        <v>1357.0</v>
      </c>
      <c r="C561" s="45">
        <f>IFERROR(__xludf.DUMMYFUNCTION("if(B561&lt;=999,if(B561&lt;=99,IF(B561&lt;=9,join(,""000"",B561),join(,""00"",B561)),join(,""0"",B561)),B561)"),1357.0)</f>
        <v>1357</v>
      </c>
      <c r="D561" s="56" t="s">
        <v>1230</v>
      </c>
      <c r="E561" s="55" t="s">
        <v>20</v>
      </c>
      <c r="F561" s="45" t="str">
        <f t="shared" si="15"/>
        <v>#REF!</v>
      </c>
      <c r="G561" s="45" t="str">
        <f t="shared" si="16"/>
        <v>#REF!</v>
      </c>
      <c r="H561" s="57" t="s">
        <v>21</v>
      </c>
      <c r="I561" s="48" t="s">
        <v>99</v>
      </c>
      <c r="J561" s="57" t="s">
        <v>20</v>
      </c>
      <c r="K561" s="94" t="s">
        <v>95</v>
      </c>
      <c r="L561" s="58" t="s">
        <v>1231</v>
      </c>
      <c r="M561" s="49">
        <v>16.0</v>
      </c>
      <c r="N561" s="94" t="s">
        <v>25</v>
      </c>
      <c r="O561" s="95" t="s">
        <v>1232</v>
      </c>
      <c r="P561" s="96"/>
    </row>
    <row r="562">
      <c r="A562" s="33">
        <v>350.0</v>
      </c>
      <c r="B562" s="34">
        <v>350.0</v>
      </c>
      <c r="C562" s="34" t="str">
        <f>IFERROR(__xludf.DUMMYFUNCTION("if(B562&lt;=999,if(B562&lt;=99,IF(B562&lt;=9,join(,""000"",B562),join(,""00"",B562)),join(,""0"",B562)),B562)"),"0350")</f>
        <v>0350</v>
      </c>
      <c r="D562" s="35" t="s">
        <v>1233</v>
      </c>
      <c r="E562" s="34" t="s">
        <v>35</v>
      </c>
      <c r="F562" s="34" t="str">
        <f t="shared" si="15"/>
        <v>#REF!</v>
      </c>
      <c r="G562" s="34" t="str">
        <f t="shared" si="16"/>
        <v>#REF!</v>
      </c>
      <c r="H562" s="36" t="s">
        <v>21</v>
      </c>
      <c r="I562" s="37"/>
      <c r="J562" s="36"/>
      <c r="K562" s="38"/>
      <c r="L562" s="42"/>
      <c r="M562" s="38" t="e">
        <v>#N/A</v>
      </c>
      <c r="N562" s="38"/>
      <c r="O562" s="38"/>
      <c r="P562" s="39"/>
    </row>
    <row r="563">
      <c r="A563" s="51">
        <v>955.0</v>
      </c>
      <c r="B563" s="51">
        <v>955.0</v>
      </c>
      <c r="C563" s="34" t="str">
        <f>IFERROR(__xludf.DUMMYFUNCTION("if(B563&lt;=999,if(B563&lt;=99,IF(B563&lt;=9,join(,""000"",B563),join(,""00"",B563)),join(,""0"",B563)),B563)"),"0955")</f>
        <v>0955</v>
      </c>
      <c r="D563" s="52" t="s">
        <v>1234</v>
      </c>
      <c r="E563" s="53" t="s">
        <v>20</v>
      </c>
      <c r="F563" s="34" t="str">
        <f t="shared" si="15"/>
        <v>#REF!</v>
      </c>
      <c r="G563" s="34" t="str">
        <f t="shared" si="16"/>
        <v>#REF!</v>
      </c>
      <c r="H563" s="54" t="s">
        <v>21</v>
      </c>
      <c r="I563" s="81" t="s">
        <v>34</v>
      </c>
      <c r="J563" s="54" t="s">
        <v>35</v>
      </c>
      <c r="K563" s="42"/>
      <c r="L563" s="42"/>
      <c r="M563" s="38" t="s">
        <v>1235</v>
      </c>
      <c r="N563" s="42"/>
      <c r="O563" s="42"/>
      <c r="P563" s="43" t="s">
        <v>729</v>
      </c>
    </row>
    <row r="564">
      <c r="A564" s="51">
        <v>1278.0</v>
      </c>
      <c r="B564" s="51">
        <v>1278.0</v>
      </c>
      <c r="C564" s="34">
        <f>IFERROR(__xludf.DUMMYFUNCTION("if(B564&lt;=999,if(B564&lt;=99,IF(B564&lt;=9,join(,""000"",B564),join(,""00"",B564)),join(,""0"",B564)),B564)"),1278.0)</f>
        <v>1278</v>
      </c>
      <c r="D564" s="52" t="s">
        <v>1236</v>
      </c>
      <c r="E564" s="53" t="s">
        <v>20</v>
      </c>
      <c r="F564" s="34" t="str">
        <f t="shared" si="15"/>
        <v>#REF!</v>
      </c>
      <c r="G564" s="34" t="str">
        <f t="shared" si="16"/>
        <v>#REF!</v>
      </c>
      <c r="H564" s="54" t="s">
        <v>21</v>
      </c>
      <c r="I564" s="37" t="s">
        <v>34</v>
      </c>
      <c r="J564" s="54" t="s">
        <v>20</v>
      </c>
      <c r="K564" s="42" t="s">
        <v>23</v>
      </c>
      <c r="L564" s="36" t="s">
        <v>1237</v>
      </c>
      <c r="M564" s="38" t="s">
        <v>1238</v>
      </c>
      <c r="N564" s="62" t="s">
        <v>25</v>
      </c>
      <c r="O564" s="62" t="s">
        <v>26</v>
      </c>
      <c r="P564" s="43" t="s">
        <v>82</v>
      </c>
    </row>
    <row r="565">
      <c r="A565" s="55">
        <v>1261.0</v>
      </c>
      <c r="B565" s="55">
        <v>1261.0</v>
      </c>
      <c r="C565" s="45">
        <f>IFERROR(__xludf.DUMMYFUNCTION("if(B565&lt;=999,if(B565&lt;=99,IF(B565&lt;=9,join(,""000"",B565),join(,""00"",B565)),join(,""0"",B565)),B565)"),1261.0)</f>
        <v>1261</v>
      </c>
      <c r="D565" s="56" t="s">
        <v>1239</v>
      </c>
      <c r="E565" s="55" t="s">
        <v>20</v>
      </c>
      <c r="F565" s="45" t="str">
        <f t="shared" si="15"/>
        <v>#REF!</v>
      </c>
      <c r="G565" s="45" t="str">
        <f t="shared" si="16"/>
        <v>#REF!</v>
      </c>
      <c r="H565" s="57" t="s">
        <v>21</v>
      </c>
      <c r="I565" s="83" t="s">
        <v>73</v>
      </c>
      <c r="J565" s="57" t="s">
        <v>20</v>
      </c>
      <c r="K565" s="49" t="s">
        <v>95</v>
      </c>
      <c r="L565" s="47" t="s">
        <v>676</v>
      </c>
      <c r="M565" s="49">
        <v>25001.0</v>
      </c>
      <c r="N565" s="58" t="s">
        <v>677</v>
      </c>
      <c r="O565" s="58" t="s">
        <v>678</v>
      </c>
      <c r="P565" s="61" t="s">
        <v>679</v>
      </c>
    </row>
    <row r="566">
      <c r="A566" s="51">
        <v>1259.0</v>
      </c>
      <c r="B566" s="51">
        <v>1259.0</v>
      </c>
      <c r="C566" s="34">
        <f>IFERROR(__xludf.DUMMYFUNCTION("if(B566&lt;=999,if(B566&lt;=99,IF(B566&lt;=9,join(,""000"",B566),join(,""00"",B566)),join(,""0"",B566)),B566)"),1259.0)</f>
        <v>1259</v>
      </c>
      <c r="D566" s="52" t="s">
        <v>1240</v>
      </c>
      <c r="E566" s="53" t="s">
        <v>20</v>
      </c>
      <c r="F566" s="34" t="str">
        <f t="shared" si="15"/>
        <v>#REF!</v>
      </c>
      <c r="G566" s="34" t="str">
        <f t="shared" si="16"/>
        <v>#REF!</v>
      </c>
      <c r="H566" s="54" t="s">
        <v>21</v>
      </c>
      <c r="I566" s="81"/>
      <c r="J566" s="54"/>
      <c r="K566" s="42"/>
      <c r="L566" s="42" t="s">
        <v>891</v>
      </c>
      <c r="M566" s="38" t="e">
        <v>#N/A</v>
      </c>
      <c r="N566" s="42" t="s">
        <v>104</v>
      </c>
      <c r="O566" s="42" t="s">
        <v>893</v>
      </c>
      <c r="P566" s="43" t="s">
        <v>1178</v>
      </c>
    </row>
    <row r="567">
      <c r="A567" s="51">
        <v>1321.0</v>
      </c>
      <c r="B567" s="51">
        <v>1321.0</v>
      </c>
      <c r="C567" s="34">
        <f>IFERROR(__xludf.DUMMYFUNCTION("if(B567&lt;=999,if(B567&lt;=99,IF(B567&lt;=9,join(,""000"",B567),join(,""00"",B567)),join(,""0"",B567)),B567)"),1321.0)</f>
        <v>1321</v>
      </c>
      <c r="D567" s="52" t="s">
        <v>1241</v>
      </c>
      <c r="E567" s="53" t="s">
        <v>20</v>
      </c>
      <c r="F567" s="34" t="str">
        <f t="shared" si="15"/>
        <v>#REF!</v>
      </c>
      <c r="G567" s="34" t="str">
        <f t="shared" si="16"/>
        <v>#REF!</v>
      </c>
      <c r="H567" s="54" t="s">
        <v>21</v>
      </c>
      <c r="I567" s="37" t="s">
        <v>77</v>
      </c>
      <c r="J567" s="54" t="s">
        <v>20</v>
      </c>
      <c r="K567" s="63" t="s">
        <v>1242</v>
      </c>
      <c r="L567" s="63" t="s">
        <v>1243</v>
      </c>
      <c r="M567" s="38" t="s">
        <v>1244</v>
      </c>
      <c r="N567" s="63" t="s">
        <v>25</v>
      </c>
      <c r="O567" s="63" t="s">
        <v>86</v>
      </c>
      <c r="P567" s="63" t="s">
        <v>1245</v>
      </c>
    </row>
    <row r="568">
      <c r="A568" s="51">
        <v>252.0</v>
      </c>
      <c r="B568" s="51">
        <v>252.0</v>
      </c>
      <c r="C568" s="34" t="str">
        <f>IFERROR(__xludf.DUMMYFUNCTION("if(B568&lt;=999,if(B568&lt;=99,IF(B568&lt;=9,join(,""000"",B568),join(,""00"",B568)),join(,""0"",B568)),B568)"),"0252")</f>
        <v>0252</v>
      </c>
      <c r="D568" s="52" t="s">
        <v>1246</v>
      </c>
      <c r="E568" s="53" t="s">
        <v>20</v>
      </c>
      <c r="F568" s="34" t="str">
        <f t="shared" si="15"/>
        <v>#REF!</v>
      </c>
      <c r="G568" s="34" t="str">
        <f t="shared" si="16"/>
        <v>#REF!</v>
      </c>
      <c r="H568" s="54" t="s">
        <v>21</v>
      </c>
      <c r="I568" s="81" t="s">
        <v>34</v>
      </c>
      <c r="J568" s="54" t="s">
        <v>20</v>
      </c>
      <c r="K568" s="42" t="s">
        <v>1247</v>
      </c>
      <c r="L568" s="42" t="s">
        <v>1248</v>
      </c>
      <c r="M568" s="38">
        <v>8081.0</v>
      </c>
      <c r="N568" s="42" t="s">
        <v>25</v>
      </c>
      <c r="O568" s="42" t="s">
        <v>86</v>
      </c>
      <c r="P568" s="43"/>
    </row>
    <row r="569">
      <c r="A569" s="51">
        <v>633.0</v>
      </c>
      <c r="B569" s="51">
        <v>633.0</v>
      </c>
      <c r="C569" s="34" t="str">
        <f>IFERROR(__xludf.DUMMYFUNCTION("if(B569&lt;=999,if(B569&lt;=99,IF(B569&lt;=9,join(,""000"",B569),join(,""00"",B569)),join(,""0"",B569)),B569)"),"0633")</f>
        <v>0633</v>
      </c>
      <c r="D569" s="52" t="s">
        <v>1249</v>
      </c>
      <c r="E569" s="53" t="s">
        <v>20</v>
      </c>
      <c r="F569" s="34" t="str">
        <f t="shared" si="15"/>
        <v>#REF!</v>
      </c>
      <c r="G569" s="34" t="str">
        <f t="shared" si="16"/>
        <v>#REF!</v>
      </c>
      <c r="H569" s="54" t="s">
        <v>21</v>
      </c>
      <c r="I569" s="37" t="s">
        <v>22</v>
      </c>
      <c r="J569" s="54" t="s">
        <v>35</v>
      </c>
      <c r="K569" s="42"/>
      <c r="L569" s="42"/>
      <c r="M569" s="38" t="s">
        <v>1250</v>
      </c>
      <c r="N569" s="42"/>
      <c r="O569" s="42"/>
      <c r="P569" s="43" t="s">
        <v>301</v>
      </c>
    </row>
    <row r="570">
      <c r="A570" s="51">
        <v>1150.0</v>
      </c>
      <c r="B570" s="51">
        <v>1150.0</v>
      </c>
      <c r="C570" s="34">
        <f>IFERROR(__xludf.DUMMYFUNCTION("if(B570&lt;=999,if(B570&lt;=99,IF(B570&lt;=9,join(,""000"",B570),join(,""00"",B570)),join(,""0"",B570)),B570)"),1150.0)</f>
        <v>1150</v>
      </c>
      <c r="D570" s="52" t="s">
        <v>1251</v>
      </c>
      <c r="E570" s="53" t="s">
        <v>20</v>
      </c>
      <c r="F570" s="34" t="str">
        <f t="shared" si="15"/>
        <v>#REF!</v>
      </c>
      <c r="G570" s="34" t="str">
        <f t="shared" si="16"/>
        <v>#REF!</v>
      </c>
      <c r="H570" s="54" t="s">
        <v>21</v>
      </c>
      <c r="I570" s="81" t="s">
        <v>101</v>
      </c>
      <c r="J570" s="54"/>
      <c r="K570" s="42"/>
      <c r="L570" s="42"/>
      <c r="M570" s="38">
        <v>7000.0</v>
      </c>
      <c r="N570" s="42"/>
      <c r="O570" s="42"/>
      <c r="P570" s="43" t="s">
        <v>61</v>
      </c>
    </row>
    <row r="571">
      <c r="A571" s="51">
        <v>1147.0</v>
      </c>
      <c r="B571" s="51">
        <v>1147.0</v>
      </c>
      <c r="C571" s="34">
        <f>IFERROR(__xludf.DUMMYFUNCTION("if(B571&lt;=999,if(B571&lt;=99,IF(B571&lt;=9,join(,""000"",B571),join(,""00"",B571)),join(,""0"",B571)),B571)"),1147.0)</f>
        <v>1147</v>
      </c>
      <c r="D571" s="52" t="s">
        <v>1252</v>
      </c>
      <c r="E571" s="53" t="s">
        <v>20</v>
      </c>
      <c r="F571" s="34" t="str">
        <f t="shared" si="15"/>
        <v>#REF!</v>
      </c>
      <c r="G571" s="34" t="str">
        <f t="shared" si="16"/>
        <v>#REF!</v>
      </c>
      <c r="H571" s="54" t="s">
        <v>21</v>
      </c>
      <c r="I571" s="37" t="s">
        <v>73</v>
      </c>
      <c r="J571" s="54" t="s">
        <v>20</v>
      </c>
      <c r="K571" s="42" t="s">
        <v>95</v>
      </c>
      <c r="L571" s="36" t="s">
        <v>1253</v>
      </c>
      <c r="M571" s="38">
        <v>25001.0</v>
      </c>
      <c r="N571" s="62" t="s">
        <v>25</v>
      </c>
      <c r="O571" s="62" t="s">
        <v>86</v>
      </c>
      <c r="P571" s="43"/>
    </row>
    <row r="572">
      <c r="A572" s="51">
        <v>1243.0</v>
      </c>
      <c r="B572" s="51">
        <v>1243.0</v>
      </c>
      <c r="C572" s="34">
        <f>IFERROR(__xludf.DUMMYFUNCTION("if(B572&lt;=999,if(B572&lt;=99,IF(B572&lt;=9,join(,""000"",B572),join(,""00"",B572)),join(,""0"",B572)),B572)"),1243.0)</f>
        <v>1243</v>
      </c>
      <c r="D572" s="52" t="s">
        <v>1254</v>
      </c>
      <c r="E572" s="53" t="s">
        <v>35</v>
      </c>
      <c r="F572" s="34" t="str">
        <f t="shared" si="15"/>
        <v>#REF!</v>
      </c>
      <c r="G572" s="34" t="str">
        <f t="shared" si="16"/>
        <v>#REF!</v>
      </c>
      <c r="H572" s="54" t="s">
        <v>21</v>
      </c>
      <c r="I572" s="81"/>
      <c r="J572" s="54"/>
      <c r="K572" s="42"/>
      <c r="L572" s="42"/>
      <c r="M572" s="38" t="e">
        <v>#N/A</v>
      </c>
      <c r="N572" s="42"/>
      <c r="O572" s="42"/>
      <c r="P572" s="43"/>
    </row>
    <row r="573">
      <c r="A573" s="33">
        <v>268.0</v>
      </c>
      <c r="B573" s="34">
        <v>268.0</v>
      </c>
      <c r="C573" s="34" t="str">
        <f>IFERROR(__xludf.DUMMYFUNCTION("if(B573&lt;=999,if(B573&lt;=99,IF(B573&lt;=9,join(,""000"",B573),join(,""00"",B573)),join(,""0"",B573)),B573)"),"0268")</f>
        <v>0268</v>
      </c>
      <c r="D573" s="35" t="s">
        <v>1255</v>
      </c>
      <c r="E573" s="34" t="s">
        <v>35</v>
      </c>
      <c r="F573" s="34" t="str">
        <f t="shared" si="15"/>
        <v>#REF!</v>
      </c>
      <c r="G573" s="34" t="str">
        <f t="shared" si="16"/>
        <v>#REF!</v>
      </c>
      <c r="H573" s="36" t="s">
        <v>21</v>
      </c>
      <c r="I573" s="37"/>
      <c r="J573" s="36"/>
      <c r="K573" s="38"/>
      <c r="L573" s="42"/>
      <c r="M573" s="38" t="e">
        <v>#N/A</v>
      </c>
      <c r="N573" s="38"/>
      <c r="O573" s="38"/>
      <c r="P573" s="39"/>
    </row>
    <row r="574">
      <c r="A574" s="51">
        <v>282.0</v>
      </c>
      <c r="B574" s="51">
        <v>282.0</v>
      </c>
      <c r="C574" s="34" t="str">
        <f>IFERROR(__xludf.DUMMYFUNCTION("if(B574&lt;=999,if(B574&lt;=99,IF(B574&lt;=9,join(,""000"",B574),join(,""00"",B574)),join(,""0"",B574)),B574)"),"0282")</f>
        <v>0282</v>
      </c>
      <c r="D574" s="52" t="s">
        <v>1256</v>
      </c>
      <c r="E574" s="53" t="s">
        <v>35</v>
      </c>
      <c r="F574" s="34" t="str">
        <f t="shared" si="15"/>
        <v>#REF!</v>
      </c>
      <c r="G574" s="34" t="str">
        <f t="shared" si="16"/>
        <v>#REF!</v>
      </c>
      <c r="H574" s="54" t="s">
        <v>21</v>
      </c>
      <c r="I574" s="81"/>
      <c r="J574" s="54"/>
      <c r="K574" s="42"/>
      <c r="L574" s="42"/>
      <c r="M574" s="38" t="e">
        <v>#N/A</v>
      </c>
      <c r="N574" s="42"/>
      <c r="O574" s="42"/>
      <c r="P574" s="43"/>
    </row>
    <row r="575">
      <c r="A575" s="51">
        <v>678.0</v>
      </c>
      <c r="B575" s="51">
        <v>678.0</v>
      </c>
      <c r="C575" s="34" t="str">
        <f>IFERROR(__xludf.DUMMYFUNCTION("if(B575&lt;=999,if(B575&lt;=99,IF(B575&lt;=9,join(,""000"",B575),join(,""00"",B575)),join(,""0"",B575)),B575)"),"0678")</f>
        <v>0678</v>
      </c>
      <c r="D575" s="52" t="s">
        <v>1257</v>
      </c>
      <c r="E575" s="53" t="s">
        <v>20</v>
      </c>
      <c r="F575" s="34" t="str">
        <f t="shared" si="15"/>
        <v>#REF!</v>
      </c>
      <c r="G575" s="34" t="str">
        <f t="shared" si="16"/>
        <v>#REF!</v>
      </c>
      <c r="H575" s="54" t="s">
        <v>21</v>
      </c>
      <c r="I575" s="81" t="s">
        <v>77</v>
      </c>
      <c r="J575" s="54" t="s">
        <v>35</v>
      </c>
      <c r="K575" s="42"/>
      <c r="L575" s="42"/>
      <c r="M575" s="38" t="s">
        <v>1258</v>
      </c>
      <c r="N575" s="42"/>
      <c r="O575" s="42"/>
      <c r="P575" s="43" t="s">
        <v>61</v>
      </c>
    </row>
    <row r="576">
      <c r="A576" s="51">
        <v>30.0</v>
      </c>
      <c r="B576" s="51">
        <v>30.0</v>
      </c>
      <c r="C576" s="34" t="str">
        <f>IFERROR(__xludf.DUMMYFUNCTION("if(B576&lt;=999,if(B576&lt;=99,IF(B576&lt;=9,join(,""000"",B576),join(,""00"",B576)),join(,""0"",B576)),B576)"),"0030")</f>
        <v>0030</v>
      </c>
      <c r="D576" s="52" t="s">
        <v>1259</v>
      </c>
      <c r="E576" s="53" t="s">
        <v>20</v>
      </c>
      <c r="F576" s="34" t="str">
        <f t="shared" si="15"/>
        <v>#REF!</v>
      </c>
      <c r="G576" s="34" t="str">
        <f t="shared" si="16"/>
        <v>#REF!</v>
      </c>
      <c r="H576" s="54" t="s">
        <v>21</v>
      </c>
      <c r="I576" s="81"/>
      <c r="J576" s="54"/>
      <c r="K576" s="42"/>
      <c r="L576" s="42"/>
      <c r="M576" s="38">
        <v>25001.0</v>
      </c>
      <c r="N576" s="42"/>
      <c r="O576" s="42"/>
      <c r="P576" s="43"/>
    </row>
    <row r="577">
      <c r="A577" s="51">
        <v>343.0</v>
      </c>
      <c r="B577" s="51">
        <v>343.0</v>
      </c>
      <c r="C577" s="34" t="str">
        <f>IFERROR(__xludf.DUMMYFUNCTION("if(B577&lt;=999,if(B577&lt;=99,IF(B577&lt;=9,join(,""000"",B577),join(,""00"",B577)),join(,""0"",B577)),B577)"),"0343")</f>
        <v>0343</v>
      </c>
      <c r="D577" s="52" t="s">
        <v>1260</v>
      </c>
      <c r="E577" s="53" t="s">
        <v>20</v>
      </c>
      <c r="F577" s="34" t="str">
        <f t="shared" si="15"/>
        <v>#REF!</v>
      </c>
      <c r="G577" s="34" t="str">
        <f t="shared" si="16"/>
        <v>#REF!</v>
      </c>
      <c r="H577" s="54" t="s">
        <v>21</v>
      </c>
      <c r="I577" s="81" t="s">
        <v>77</v>
      </c>
      <c r="J577" s="54"/>
      <c r="K577" s="42"/>
      <c r="L577" s="42"/>
      <c r="M577" s="38">
        <v>16.0</v>
      </c>
      <c r="N577" s="42"/>
      <c r="O577" s="42"/>
      <c r="P577" s="43" t="s">
        <v>362</v>
      </c>
    </row>
    <row r="578">
      <c r="A578" s="51">
        <v>1420.0</v>
      </c>
      <c r="B578" s="51">
        <v>1420.0</v>
      </c>
      <c r="C578" s="34">
        <f>IFERROR(__xludf.DUMMYFUNCTION("if(B578&lt;=999,if(B578&lt;=99,IF(B578&lt;=9,join(,""000"",B578),join(,""00"",B578)),join(,""0"",B578)),B578)"),1420.0)</f>
        <v>1420</v>
      </c>
      <c r="D578" s="52" t="s">
        <v>1261</v>
      </c>
      <c r="E578" s="53" t="s">
        <v>20</v>
      </c>
      <c r="F578" s="34" t="str">
        <f t="shared" si="15"/>
        <v>#REF!</v>
      </c>
      <c r="G578" s="34" t="str">
        <f t="shared" si="16"/>
        <v>#REF!</v>
      </c>
      <c r="H578" s="54" t="s">
        <v>21</v>
      </c>
      <c r="I578" s="37" t="s">
        <v>22</v>
      </c>
      <c r="J578" s="54" t="s">
        <v>35</v>
      </c>
      <c r="K578" s="42"/>
      <c r="L578" s="42"/>
      <c r="M578" s="38">
        <v>32.0</v>
      </c>
      <c r="N578" s="42"/>
      <c r="O578" s="42"/>
      <c r="P578" s="43" t="s">
        <v>362</v>
      </c>
    </row>
    <row r="579">
      <c r="A579" s="33">
        <v>1408.0</v>
      </c>
      <c r="B579" s="34">
        <v>1408.0</v>
      </c>
      <c r="C579" s="34">
        <f>IFERROR(__xludf.DUMMYFUNCTION("if(B579&lt;=999,if(B579&lt;=99,IF(B579&lt;=9,join(,""000"",B579),join(,""00"",B579)),join(,""0"",B579)),B579)"),1408.0)</f>
        <v>1408</v>
      </c>
      <c r="D579" s="35" t="s">
        <v>1262</v>
      </c>
      <c r="E579" s="34" t="s">
        <v>20</v>
      </c>
      <c r="F579" s="34" t="str">
        <f t="shared" si="15"/>
        <v>#REF!</v>
      </c>
      <c r="G579" s="34" t="str">
        <f t="shared" si="16"/>
        <v>#REF!</v>
      </c>
      <c r="H579" s="36" t="s">
        <v>21</v>
      </c>
      <c r="I579" s="37"/>
      <c r="J579" s="36"/>
      <c r="K579" s="38"/>
      <c r="L579" s="42"/>
      <c r="M579" s="38">
        <v>8.0</v>
      </c>
      <c r="N579" s="38"/>
      <c r="O579" s="38"/>
      <c r="P579" s="39"/>
    </row>
    <row r="580">
      <c r="A580" s="33">
        <v>246.0</v>
      </c>
      <c r="B580" s="34">
        <v>246.0</v>
      </c>
      <c r="C580" s="34" t="str">
        <f>IFERROR(__xludf.DUMMYFUNCTION("if(B580&lt;=999,if(B580&lt;=99,IF(B580&lt;=9,join(,""000"",B580),join(,""00"",B580)),join(,""0"",B580)),B580)"),"0246")</f>
        <v>0246</v>
      </c>
      <c r="D580" s="35" t="s">
        <v>1263</v>
      </c>
      <c r="E580" s="34" t="s">
        <v>20</v>
      </c>
      <c r="F580" s="34" t="str">
        <f t="shared" si="15"/>
        <v>#REF!</v>
      </c>
      <c r="G580" s="34" t="str">
        <f t="shared" si="16"/>
        <v>#REF!</v>
      </c>
      <c r="H580" s="36" t="s">
        <v>21</v>
      </c>
      <c r="I580" s="37" t="s">
        <v>101</v>
      </c>
      <c r="J580" s="36"/>
      <c r="K580" s="38"/>
      <c r="L580" s="42"/>
      <c r="M580" s="38">
        <v>80.0</v>
      </c>
      <c r="N580" s="38"/>
      <c r="O580" s="38"/>
      <c r="P580" s="39" t="s">
        <v>299</v>
      </c>
    </row>
    <row r="581">
      <c r="A581" s="51">
        <v>1089.0</v>
      </c>
      <c r="B581" s="51">
        <v>1089.0</v>
      </c>
      <c r="C581" s="34">
        <f>IFERROR(__xludf.DUMMYFUNCTION("if(B581&lt;=999,if(B581&lt;=99,IF(B581&lt;=9,join(,""000"",B581),join(,""00"",B581)),join(,""0"",B581)),B581)"),1089.0)</f>
        <v>1089</v>
      </c>
      <c r="D581" s="52" t="s">
        <v>1264</v>
      </c>
      <c r="E581" s="53" t="s">
        <v>20</v>
      </c>
      <c r="F581" s="34" t="str">
        <f t="shared" si="15"/>
        <v>#REF!</v>
      </c>
      <c r="G581" s="34" t="str">
        <f t="shared" si="16"/>
        <v>#REF!</v>
      </c>
      <c r="H581" s="54" t="s">
        <v>21</v>
      </c>
      <c r="I581" s="81"/>
      <c r="J581" s="54" t="s">
        <v>20</v>
      </c>
      <c r="K581" s="42"/>
      <c r="L581" s="42" t="s">
        <v>1265</v>
      </c>
      <c r="M581" s="38" t="e">
        <v>#N/A</v>
      </c>
      <c r="N581" s="42" t="s">
        <v>25</v>
      </c>
      <c r="O581" s="42" t="s">
        <v>86</v>
      </c>
      <c r="P581" s="43" t="s">
        <v>97</v>
      </c>
    </row>
    <row r="582">
      <c r="A582" s="51">
        <v>1119.0</v>
      </c>
      <c r="B582" s="51">
        <v>1119.0</v>
      </c>
      <c r="C582" s="34">
        <f>IFERROR(__xludf.DUMMYFUNCTION("if(B582&lt;=999,if(B582&lt;=99,IF(B582&lt;=9,join(,""000"",B582),join(,""00"",B582)),join(,""0"",B582)),B582)"),1119.0)</f>
        <v>1119</v>
      </c>
      <c r="D582" s="52" t="s">
        <v>1266</v>
      </c>
      <c r="E582" s="53" t="s">
        <v>20</v>
      </c>
      <c r="F582" s="34" t="str">
        <f t="shared" si="15"/>
        <v>#REF!</v>
      </c>
      <c r="G582" s="34" t="str">
        <f t="shared" si="16"/>
        <v>#REF!</v>
      </c>
      <c r="H582" s="54" t="s">
        <v>21</v>
      </c>
      <c r="I582" s="81" t="s">
        <v>34</v>
      </c>
      <c r="J582" s="54" t="s">
        <v>20</v>
      </c>
      <c r="K582" s="42"/>
      <c r="L582" s="42" t="s">
        <v>1265</v>
      </c>
      <c r="M582" s="38">
        <v>25001.0</v>
      </c>
      <c r="N582" s="42" t="s">
        <v>25</v>
      </c>
      <c r="O582" s="42" t="s">
        <v>86</v>
      </c>
      <c r="P582" s="43" t="s">
        <v>82</v>
      </c>
    </row>
    <row r="583">
      <c r="A583" s="55">
        <v>1235.0</v>
      </c>
      <c r="B583" s="55">
        <v>1235.0</v>
      </c>
      <c r="C583" s="45">
        <f>IFERROR(__xludf.DUMMYFUNCTION("if(B583&lt;=999,if(B583&lt;=99,IF(B583&lt;=9,join(,""000"",B583),join(,""00"",B583)),join(,""0"",B583)),B583)"),1235.0)</f>
        <v>1235</v>
      </c>
      <c r="D583" s="56" t="s">
        <v>1267</v>
      </c>
      <c r="E583" s="55" t="s">
        <v>20</v>
      </c>
      <c r="F583" s="45" t="str">
        <f t="shared" si="15"/>
        <v>#REF!</v>
      </c>
      <c r="G583" s="45" t="str">
        <f t="shared" si="16"/>
        <v>#REF!</v>
      </c>
      <c r="H583" s="57" t="s">
        <v>21</v>
      </c>
      <c r="I583" s="48" t="s">
        <v>77</v>
      </c>
      <c r="J583" s="57" t="s">
        <v>35</v>
      </c>
      <c r="K583" s="60"/>
      <c r="L583" s="67" t="s">
        <v>1268</v>
      </c>
      <c r="M583" s="49" t="s">
        <v>550</v>
      </c>
      <c r="N583" s="60" t="s">
        <v>25</v>
      </c>
      <c r="O583" s="60" t="s">
        <v>86</v>
      </c>
      <c r="P583" s="61" t="s">
        <v>795</v>
      </c>
    </row>
    <row r="584">
      <c r="A584" s="51">
        <v>1272.0</v>
      </c>
      <c r="B584" s="51">
        <v>1272.0</v>
      </c>
      <c r="C584" s="34">
        <f>IFERROR(__xludf.DUMMYFUNCTION("if(B584&lt;=999,if(B584&lt;=99,IF(B584&lt;=9,join(,""000"",B584),join(,""00"",B584)),join(,""0"",B584)),B584)"),1272.0)</f>
        <v>1272</v>
      </c>
      <c r="D584" s="52" t="s">
        <v>1269</v>
      </c>
      <c r="E584" s="53" t="s">
        <v>20</v>
      </c>
      <c r="F584" s="34" t="str">
        <f t="shared" si="15"/>
        <v>#REF!</v>
      </c>
      <c r="G584" s="34" t="str">
        <f t="shared" si="16"/>
        <v>#REF!</v>
      </c>
      <c r="H584" s="54" t="s">
        <v>21</v>
      </c>
      <c r="I584" s="81" t="s">
        <v>99</v>
      </c>
      <c r="J584" s="54" t="s">
        <v>20</v>
      </c>
      <c r="K584" s="42" t="s">
        <v>95</v>
      </c>
      <c r="L584" s="36" t="s">
        <v>1270</v>
      </c>
      <c r="M584" s="38"/>
      <c r="N584" s="62" t="s">
        <v>25</v>
      </c>
      <c r="O584" s="62" t="s">
        <v>1271</v>
      </c>
      <c r="P584" s="43"/>
    </row>
    <row r="585">
      <c r="A585" s="33">
        <v>1087.0</v>
      </c>
      <c r="B585" s="34">
        <v>1087.0</v>
      </c>
      <c r="C585" s="34">
        <f>IFERROR(__xludf.DUMMYFUNCTION("if(B585&lt;=999,if(B585&lt;=99,IF(B585&lt;=9,join(,""000"",B585),join(,""00"",B585)),join(,""0"",B585)),B585)"),1087.0)</f>
        <v>1087</v>
      </c>
      <c r="D585" s="35" t="s">
        <v>1272</v>
      </c>
      <c r="E585" s="34" t="s">
        <v>20</v>
      </c>
      <c r="F585" s="34" t="str">
        <f t="shared" si="15"/>
        <v>#REF!</v>
      </c>
      <c r="G585" s="34" t="str">
        <f t="shared" si="16"/>
        <v>#REF!</v>
      </c>
      <c r="H585" s="36" t="s">
        <v>21</v>
      </c>
      <c r="I585" s="37" t="s">
        <v>77</v>
      </c>
      <c r="J585" s="36" t="s">
        <v>20</v>
      </c>
      <c r="K585" s="38" t="s">
        <v>28</v>
      </c>
      <c r="L585" s="62" t="s">
        <v>1273</v>
      </c>
      <c r="M585" s="38" t="e">
        <v>#N/A</v>
      </c>
      <c r="N585" s="62" t="s">
        <v>25</v>
      </c>
      <c r="O585" s="62" t="s">
        <v>86</v>
      </c>
      <c r="P585" s="43"/>
    </row>
    <row r="586">
      <c r="A586" s="33">
        <v>1043.0</v>
      </c>
      <c r="B586" s="34">
        <v>1043.0</v>
      </c>
      <c r="C586" s="34">
        <f>IFERROR(__xludf.DUMMYFUNCTION("if(B586&lt;=999,if(B586&lt;=99,IF(B586&lt;=9,join(,""000"",B586),join(,""00"",B586)),join(,""0"",B586)),B586)"),1043.0)</f>
        <v>1043</v>
      </c>
      <c r="D586" s="35" t="s">
        <v>1274</v>
      </c>
      <c r="E586" s="34" t="s">
        <v>20</v>
      </c>
      <c r="F586" s="34" t="str">
        <f t="shared" si="15"/>
        <v>#REF!</v>
      </c>
      <c r="G586" s="34" t="str">
        <f t="shared" si="16"/>
        <v>#REF!</v>
      </c>
      <c r="H586" s="36" t="s">
        <v>21</v>
      </c>
      <c r="I586" s="37" t="s">
        <v>101</v>
      </c>
      <c r="J586" s="36" t="s">
        <v>20</v>
      </c>
      <c r="K586" s="38" t="s">
        <v>28</v>
      </c>
      <c r="L586" s="62" t="s">
        <v>1273</v>
      </c>
      <c r="M586" s="38">
        <v>54.0</v>
      </c>
      <c r="N586" s="62" t="s">
        <v>25</v>
      </c>
      <c r="O586" s="62" t="s">
        <v>86</v>
      </c>
      <c r="P586" s="59"/>
    </row>
    <row r="587">
      <c r="A587" s="33">
        <v>369.0</v>
      </c>
      <c r="B587" s="34">
        <v>369.0</v>
      </c>
      <c r="C587" s="34" t="str">
        <f>IFERROR(__xludf.DUMMYFUNCTION("if(B587&lt;=999,if(B587&lt;=99,IF(B587&lt;=9,join(,""000"",B587),join(,""00"",B587)),join(,""0"",B587)),B587)"),"0369")</f>
        <v>0369</v>
      </c>
      <c r="D587" s="35" t="s">
        <v>1275</v>
      </c>
      <c r="E587" s="34" t="s">
        <v>20</v>
      </c>
      <c r="F587" s="34" t="str">
        <f t="shared" si="15"/>
        <v>#REF!</v>
      </c>
      <c r="G587" s="34" t="str">
        <f t="shared" si="16"/>
        <v>#REF!</v>
      </c>
      <c r="H587" s="36" t="s">
        <v>21</v>
      </c>
      <c r="I587" s="37" t="s">
        <v>101</v>
      </c>
      <c r="J587" s="36" t="s">
        <v>35</v>
      </c>
      <c r="K587" s="38"/>
      <c r="L587" s="42"/>
      <c r="M587" s="38">
        <v>16.0</v>
      </c>
      <c r="N587" s="38"/>
      <c r="O587" s="38"/>
      <c r="P587" s="43" t="s">
        <v>43</v>
      </c>
    </row>
    <row r="588">
      <c r="A588" s="51">
        <v>1077.0</v>
      </c>
      <c r="B588" s="51">
        <v>1077.0</v>
      </c>
      <c r="C588" s="34">
        <f>IFERROR(__xludf.DUMMYFUNCTION("if(B588&lt;=999,if(B588&lt;=99,IF(B588&lt;=9,join(,""000"",B588),join(,""00"",B588)),join(,""0"",B588)),B588)"),1077.0)</f>
        <v>1077</v>
      </c>
      <c r="D588" s="52" t="s">
        <v>1276</v>
      </c>
      <c r="E588" s="53" t="s">
        <v>20</v>
      </c>
      <c r="F588" s="34" t="str">
        <f t="shared" si="15"/>
        <v>#REF!</v>
      </c>
      <c r="G588" s="34" t="str">
        <f t="shared" si="16"/>
        <v>#REF!</v>
      </c>
      <c r="H588" s="54" t="s">
        <v>21</v>
      </c>
      <c r="I588" s="81" t="s">
        <v>117</v>
      </c>
      <c r="J588" s="54" t="s">
        <v>35</v>
      </c>
      <c r="K588" s="42"/>
      <c r="L588" s="42"/>
      <c r="M588" s="38">
        <v>25001.0</v>
      </c>
      <c r="N588" s="42"/>
      <c r="O588" s="42"/>
      <c r="P588" s="43" t="s">
        <v>43</v>
      </c>
    </row>
    <row r="589">
      <c r="A589" s="33">
        <v>754.0</v>
      </c>
      <c r="B589" s="34">
        <v>754.0</v>
      </c>
      <c r="C589" s="34" t="str">
        <f>IFERROR(__xludf.DUMMYFUNCTION("if(B589&lt;=999,if(B589&lt;=99,IF(B589&lt;=9,join(,""000"",B589),join(,""00"",B589)),join(,""0"",B589)),B589)"),"0754")</f>
        <v>0754</v>
      </c>
      <c r="D589" s="35" t="s">
        <v>1277</v>
      </c>
      <c r="E589" s="34" t="s">
        <v>20</v>
      </c>
      <c r="F589" s="34" t="str">
        <f t="shared" si="15"/>
        <v>#REF!</v>
      </c>
      <c r="G589" s="34" t="str">
        <f t="shared" si="16"/>
        <v>#REF!</v>
      </c>
      <c r="H589" s="36" t="s">
        <v>21</v>
      </c>
      <c r="I589" s="37" t="s">
        <v>34</v>
      </c>
      <c r="J589" s="36" t="s">
        <v>35</v>
      </c>
      <c r="K589" s="38"/>
      <c r="L589" s="42"/>
      <c r="M589" s="38" t="s">
        <v>1278</v>
      </c>
      <c r="N589" s="38"/>
      <c r="O589" s="38"/>
      <c r="P589" s="39" t="s">
        <v>43</v>
      </c>
    </row>
    <row r="590">
      <c r="A590" s="51">
        <v>913.0</v>
      </c>
      <c r="B590" s="51">
        <v>913.0</v>
      </c>
      <c r="C590" s="34" t="str">
        <f>IFERROR(__xludf.DUMMYFUNCTION("if(B590&lt;=999,if(B590&lt;=99,IF(B590&lt;=9,join(,""000"",B590),join(,""00"",B590)),join(,""0"",B590)),B590)"),"0913")</f>
        <v>0913</v>
      </c>
      <c r="D590" s="52" t="s">
        <v>1279</v>
      </c>
      <c r="E590" s="53" t="s">
        <v>20</v>
      </c>
      <c r="F590" s="34" t="str">
        <f t="shared" si="15"/>
        <v>#REF!</v>
      </c>
      <c r="G590" s="34" t="str">
        <f t="shared" si="16"/>
        <v>#REF!</v>
      </c>
      <c r="H590" s="54" t="s">
        <v>21</v>
      </c>
      <c r="I590" s="81" t="s">
        <v>60</v>
      </c>
      <c r="J590" s="54" t="s">
        <v>20</v>
      </c>
      <c r="K590" s="42" t="s">
        <v>360</v>
      </c>
      <c r="L590" s="42" t="s">
        <v>1280</v>
      </c>
      <c r="M590" s="38">
        <v>8000.0</v>
      </c>
      <c r="N590" s="42" t="s">
        <v>25</v>
      </c>
      <c r="O590" s="42" t="s">
        <v>1271</v>
      </c>
      <c r="P590" s="43" t="s">
        <v>82</v>
      </c>
    </row>
    <row r="591">
      <c r="A591" s="51">
        <v>670.0</v>
      </c>
      <c r="B591" s="51">
        <v>670.0</v>
      </c>
      <c r="C591" s="34" t="str">
        <f>IFERROR(__xludf.DUMMYFUNCTION("if(B591&lt;=999,if(B591&lt;=99,IF(B591&lt;=9,join(,""000"",B591),join(,""00"",B591)),join(,""0"",B591)),B591)"),"0670")</f>
        <v>0670</v>
      </c>
      <c r="D591" s="52" t="s">
        <v>1281</v>
      </c>
      <c r="E591" s="53" t="s">
        <v>20</v>
      </c>
      <c r="F591" s="34" t="str">
        <f t="shared" si="15"/>
        <v>#REF!</v>
      </c>
      <c r="G591" s="34" t="str">
        <f t="shared" si="16"/>
        <v>#REF!</v>
      </c>
      <c r="H591" s="54" t="s">
        <v>21</v>
      </c>
      <c r="I591" s="37" t="s">
        <v>73</v>
      </c>
      <c r="J591" s="54" t="s">
        <v>35</v>
      </c>
      <c r="K591" s="42"/>
      <c r="L591" s="42"/>
      <c r="M591" s="38">
        <v>3666.0</v>
      </c>
      <c r="N591" s="42"/>
      <c r="O591" s="42"/>
      <c r="P591" s="43" t="s">
        <v>43</v>
      </c>
    </row>
    <row r="592">
      <c r="A592" s="51">
        <v>1388.0</v>
      </c>
      <c r="B592" s="51">
        <v>1388.0</v>
      </c>
      <c r="C592" s="34">
        <f>IFERROR(__xludf.DUMMYFUNCTION("if(B592&lt;=999,if(B592&lt;=99,IF(B592&lt;=9,join(,""000"",B592),join(,""00"",B592)),join(,""0"",B592)),B592)"),1388.0)</f>
        <v>1388</v>
      </c>
      <c r="D592" s="52" t="s">
        <v>1282</v>
      </c>
      <c r="E592" s="53" t="s">
        <v>35</v>
      </c>
      <c r="F592" s="34" t="str">
        <f t="shared" si="15"/>
        <v>#REF!</v>
      </c>
      <c r="G592" s="34" t="str">
        <f t="shared" si="16"/>
        <v>#REF!</v>
      </c>
      <c r="H592" s="54" t="s">
        <v>21</v>
      </c>
      <c r="I592" s="81"/>
      <c r="J592" s="54"/>
      <c r="K592" s="42"/>
      <c r="L592" s="42"/>
      <c r="M592" s="38" t="e">
        <v>#N/A</v>
      </c>
      <c r="N592" s="42"/>
      <c r="O592" s="42"/>
      <c r="P592" s="43"/>
    </row>
    <row r="593">
      <c r="A593" s="51">
        <v>1287.0</v>
      </c>
      <c r="B593" s="51">
        <v>1287.0</v>
      </c>
      <c r="C593" s="34">
        <f>IFERROR(__xludf.DUMMYFUNCTION("if(B593&lt;=999,if(B593&lt;=99,IF(B593&lt;=9,join(,""000"",B593),join(,""00"",B593)),join(,""0"",B593)),B593)"),1287.0)</f>
        <v>1287</v>
      </c>
      <c r="D593" s="52" t="s">
        <v>1283</v>
      </c>
      <c r="E593" s="53" t="s">
        <v>20</v>
      </c>
      <c r="F593" s="34" t="str">
        <f t="shared" si="15"/>
        <v>#REF!</v>
      </c>
      <c r="G593" s="34" t="str">
        <f t="shared" si="16"/>
        <v>#REF!</v>
      </c>
      <c r="H593" s="54" t="s">
        <v>21</v>
      </c>
      <c r="I593" s="37" t="s">
        <v>22</v>
      </c>
      <c r="J593" s="54" t="s">
        <v>35</v>
      </c>
      <c r="K593" s="42"/>
      <c r="L593" s="42"/>
      <c r="M593" s="38" t="s">
        <v>1284</v>
      </c>
      <c r="N593" s="42"/>
      <c r="O593" s="42"/>
      <c r="P593" s="43" t="s">
        <v>1134</v>
      </c>
    </row>
    <row r="594">
      <c r="A594" s="33">
        <v>811.0</v>
      </c>
      <c r="B594" s="34">
        <v>811.0</v>
      </c>
      <c r="C594" s="34" t="str">
        <f>IFERROR(__xludf.DUMMYFUNCTION("if(B594&lt;=999,if(B594&lt;=99,IF(B594&lt;=9,join(,""000"",B594),join(,""00"",B594)),join(,""0"",B594)),B594)"),"0811")</f>
        <v>0811</v>
      </c>
      <c r="D594" s="35" t="s">
        <v>1285</v>
      </c>
      <c r="E594" s="34" t="s">
        <v>20</v>
      </c>
      <c r="F594" s="34" t="str">
        <f t="shared" si="15"/>
        <v>#REF!</v>
      </c>
      <c r="G594" s="34" t="str">
        <f t="shared" si="16"/>
        <v>#REF!</v>
      </c>
      <c r="H594" s="36" t="s">
        <v>21</v>
      </c>
      <c r="I594" s="37" t="s">
        <v>22</v>
      </c>
      <c r="J594" s="36" t="s">
        <v>20</v>
      </c>
      <c r="K594" s="38" t="s">
        <v>360</v>
      </c>
      <c r="L594" s="38" t="s">
        <v>1286</v>
      </c>
      <c r="M594" s="38" t="s">
        <v>1287</v>
      </c>
      <c r="N594" s="38" t="s">
        <v>25</v>
      </c>
      <c r="O594" s="38" t="s">
        <v>86</v>
      </c>
      <c r="P594" s="39"/>
    </row>
    <row r="595">
      <c r="A595" s="51">
        <v>948.0</v>
      </c>
      <c r="B595" s="51">
        <v>948.0</v>
      </c>
      <c r="C595" s="34" t="str">
        <f>IFERROR(__xludf.DUMMYFUNCTION("if(B595&lt;=999,if(B595&lt;=99,IF(B595&lt;=9,join(,""000"",B595),join(,""00"",B595)),join(,""0"",B595)),B595)"),"0948")</f>
        <v>0948</v>
      </c>
      <c r="D595" s="52" t="s">
        <v>1288</v>
      </c>
      <c r="E595" s="53" t="s">
        <v>20</v>
      </c>
      <c r="F595" s="34" t="str">
        <f t="shared" si="15"/>
        <v>#REF!</v>
      </c>
      <c r="G595" s="34" t="str">
        <f t="shared" si="16"/>
        <v>#REF!</v>
      </c>
      <c r="H595" s="54" t="s">
        <v>21</v>
      </c>
      <c r="I595" s="81" t="s">
        <v>101</v>
      </c>
      <c r="J595" s="54" t="s">
        <v>35</v>
      </c>
      <c r="K595" s="42"/>
      <c r="L595" s="42"/>
      <c r="M595" s="38">
        <v>25001.0</v>
      </c>
      <c r="N595" s="42"/>
      <c r="O595" s="42"/>
      <c r="P595" s="43" t="s">
        <v>61</v>
      </c>
    </row>
    <row r="596">
      <c r="A596" s="51">
        <v>231.0</v>
      </c>
      <c r="B596" s="51">
        <v>231.0</v>
      </c>
      <c r="C596" s="34" t="str">
        <f>IFERROR(__xludf.DUMMYFUNCTION("if(B596&lt;=999,if(B596&lt;=99,IF(B596&lt;=9,join(,""000"",B596),join(,""00"",B596)),join(,""0"",B596)),B596)"),"0231")</f>
        <v>0231</v>
      </c>
      <c r="D596" s="52" t="s">
        <v>1289</v>
      </c>
      <c r="E596" s="53" t="s">
        <v>35</v>
      </c>
      <c r="F596" s="34" t="str">
        <f t="shared" si="15"/>
        <v>#REF!</v>
      </c>
      <c r="G596" s="34" t="str">
        <f t="shared" si="16"/>
        <v>#REF!</v>
      </c>
      <c r="H596" s="54" t="s">
        <v>21</v>
      </c>
      <c r="I596" s="81"/>
      <c r="J596" s="54"/>
      <c r="K596" s="42"/>
      <c r="L596" s="42"/>
      <c r="M596" s="38" t="e">
        <v>#N/A</v>
      </c>
      <c r="N596" s="42"/>
      <c r="O596" s="42"/>
      <c r="P596" s="43"/>
    </row>
    <row r="597">
      <c r="A597" s="51">
        <v>220.0</v>
      </c>
      <c r="B597" s="51">
        <v>220.0</v>
      </c>
      <c r="C597" s="34" t="str">
        <f>IFERROR(__xludf.DUMMYFUNCTION("if(B597&lt;=999,if(B597&lt;=99,IF(B597&lt;=9,join(,""000"",B597),join(,""00"",B597)),join(,""0"",B597)),B597)"),"0220")</f>
        <v>0220</v>
      </c>
      <c r="D597" s="52" t="s">
        <v>1290</v>
      </c>
      <c r="E597" s="53" t="s">
        <v>20</v>
      </c>
      <c r="F597" s="34" t="str">
        <f t="shared" si="15"/>
        <v>#REF!</v>
      </c>
      <c r="G597" s="34" t="str">
        <f t="shared" si="16"/>
        <v>#REF!</v>
      </c>
      <c r="H597" s="54" t="s">
        <v>21</v>
      </c>
      <c r="I597" s="81" t="s">
        <v>1291</v>
      </c>
      <c r="J597" s="54" t="s">
        <v>20</v>
      </c>
      <c r="K597" s="42" t="s">
        <v>330</v>
      </c>
      <c r="L597" s="42" t="s">
        <v>836</v>
      </c>
      <c r="M597" s="38">
        <v>25001.0</v>
      </c>
      <c r="N597" s="42" t="s">
        <v>25</v>
      </c>
      <c r="O597" s="42" t="s">
        <v>837</v>
      </c>
      <c r="P597" s="42" t="s">
        <v>97</v>
      </c>
    </row>
    <row r="598">
      <c r="A598" s="51">
        <v>37.0</v>
      </c>
      <c r="B598" s="51">
        <v>37.0</v>
      </c>
      <c r="C598" s="34" t="str">
        <f>IFERROR(__xludf.DUMMYFUNCTION("if(B598&lt;=999,if(B598&lt;=99,IF(B598&lt;=9,join(,""000"",B598),join(,""00"",B598)),join(,""0"",B598)),B598)"),"0037")</f>
        <v>0037</v>
      </c>
      <c r="D598" s="52" t="s">
        <v>1292</v>
      </c>
      <c r="E598" s="53" t="s">
        <v>20</v>
      </c>
      <c r="F598" s="34" t="str">
        <f t="shared" si="15"/>
        <v>#REF!</v>
      </c>
      <c r="G598" s="34" t="str">
        <f t="shared" si="16"/>
        <v>#REF!</v>
      </c>
      <c r="H598" s="54" t="s">
        <v>21</v>
      </c>
      <c r="I598" s="81" t="s">
        <v>1293</v>
      </c>
      <c r="J598" s="54" t="s">
        <v>20</v>
      </c>
      <c r="K598" s="42" t="s">
        <v>330</v>
      </c>
      <c r="L598" s="42" t="s">
        <v>854</v>
      </c>
      <c r="M598" s="38" t="s">
        <v>1294</v>
      </c>
      <c r="N598" s="42" t="s">
        <v>25</v>
      </c>
      <c r="O598" s="42" t="s">
        <v>855</v>
      </c>
      <c r="P598" s="42"/>
    </row>
    <row r="599">
      <c r="A599" s="51">
        <v>723.0</v>
      </c>
      <c r="B599" s="51">
        <v>723.0</v>
      </c>
      <c r="C599" s="34" t="str">
        <f>IFERROR(__xludf.DUMMYFUNCTION("if(B599&lt;=999,if(B599&lt;=99,IF(B599&lt;=9,join(,""000"",B599),join(,""00"",B599)),join(,""0"",B599)),B599)"),"0723")</f>
        <v>0723</v>
      </c>
      <c r="D599" s="52" t="s">
        <v>1295</v>
      </c>
      <c r="E599" s="53" t="s">
        <v>20</v>
      </c>
      <c r="F599" s="34" t="str">
        <f t="shared" si="15"/>
        <v>#REF!</v>
      </c>
      <c r="G599" s="34" t="str">
        <f t="shared" si="16"/>
        <v>#REF!</v>
      </c>
      <c r="H599" s="54" t="s">
        <v>21</v>
      </c>
      <c r="I599" s="81" t="s">
        <v>1293</v>
      </c>
      <c r="J599" s="54" t="s">
        <v>20</v>
      </c>
      <c r="K599" s="42" t="s">
        <v>330</v>
      </c>
      <c r="L599" s="42" t="s">
        <v>1296</v>
      </c>
      <c r="M599" s="38" t="e">
        <v>#N/A</v>
      </c>
      <c r="N599" s="42" t="s">
        <v>25</v>
      </c>
      <c r="O599" s="42" t="s">
        <v>855</v>
      </c>
      <c r="P599" s="42"/>
    </row>
  </sheetData>
  <autoFilter ref="$A$7:$P$599"/>
  <customSheetViews>
    <customSheetView guid="{949CA828-ADAD-4E9F-B44A-C4CC9CB43678}" filter="1" showAutoFilter="1">
      <autoFilter ref="$O$4"/>
    </customSheetView>
  </customSheetViews>
  <mergeCells count="1">
    <mergeCell ref="A2:D2"/>
  </mergeCells>
  <dataValidations>
    <dataValidation type="list" allowBlank="1" sqref="J8:J599">
      <formula1>"Yes,No"</formula1>
    </dataValidation>
  </dataValidations>
  <hyperlinks>
    <hyperlink r:id="rId1" ref="L79"/>
    <hyperlink r:id="rId2" ref="L82"/>
    <hyperlink r:id="rId3" ref="L165"/>
    <hyperlink r:id="rId4" ref="L166"/>
    <hyperlink r:id="rId5" ref="L192"/>
    <hyperlink r:id="rId6" ref="L213"/>
    <hyperlink r:id="rId7" ref="L583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ySplit="8.0" topLeftCell="E9" activePane="bottomRight" state="frozen"/>
      <selection activeCell="E1" sqref="E1" pane="topRight"/>
      <selection activeCell="A9" sqref="A9" pane="bottomLeft"/>
      <selection activeCell="E9" sqref="E9" pane="bottom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23.75"/>
    <col customWidth="1" min="5" max="5" width="77.75"/>
    <col customWidth="1" hidden="1" min="6" max="7" width="13.13"/>
    <col hidden="1" min="8" max="8" width="12.63"/>
    <col customWidth="1" hidden="1" min="9" max="9" width="36.88"/>
    <col customWidth="1" hidden="1" min="10" max="10" width="22.5"/>
    <col customWidth="1" hidden="1" min="11" max="11" width="18.38"/>
    <col customWidth="1" min="12" max="12" width="12.5"/>
    <col customWidth="1" hidden="1" min="13" max="13" width="17.38"/>
    <col customWidth="1" hidden="1" min="14" max="15" width="26.0"/>
    <col customWidth="1" hidden="1" min="16" max="16" width="18.25"/>
    <col customWidth="1" hidden="1" min="17" max="17" width="17.13"/>
    <col customWidth="1" hidden="1" min="18" max="20" width="102.63"/>
  </cols>
  <sheetData>
    <row r="1">
      <c r="A1" s="224"/>
      <c r="B1" s="227"/>
      <c r="D1" s="226" t="s">
        <v>1321</v>
      </c>
      <c r="E1" s="227" t="s">
        <v>1322</v>
      </c>
      <c r="F1" s="227"/>
      <c r="G1" s="227"/>
      <c r="H1" s="1"/>
      <c r="I1" s="1"/>
      <c r="J1" s="1"/>
      <c r="K1" s="228"/>
      <c r="M1" s="229"/>
      <c r="N1" s="229"/>
      <c r="O1" s="229"/>
      <c r="P1" s="229"/>
      <c r="Q1" s="229">
        <v>529.0</v>
      </c>
      <c r="R1" s="229"/>
      <c r="S1" s="230"/>
      <c r="T1" s="230"/>
    </row>
    <row r="2" hidden="1">
      <c r="A2" s="6" t="s">
        <v>0</v>
      </c>
      <c r="B2" s="231"/>
      <c r="C2" s="231"/>
      <c r="D2" s="231"/>
      <c r="E2" s="232"/>
      <c r="F2" s="233"/>
      <c r="G2" s="233"/>
      <c r="H2" s="1"/>
      <c r="I2" s="1"/>
      <c r="J2" s="1"/>
      <c r="K2" s="228"/>
      <c r="L2" s="234"/>
      <c r="M2" s="229"/>
      <c r="N2" s="229"/>
      <c r="O2" s="229"/>
      <c r="P2" s="229"/>
      <c r="Q2" s="229"/>
      <c r="R2" s="229"/>
      <c r="S2" s="230"/>
      <c r="T2" s="230"/>
    </row>
    <row r="3">
      <c r="A3" s="235"/>
      <c r="B3" s="236"/>
      <c r="C3" s="236"/>
      <c r="D3" s="236"/>
      <c r="E3" s="237">
        <f>countif(L9:L95,"Yes")</f>
        <v>0</v>
      </c>
      <c r="F3" s="238"/>
      <c r="G3" s="238"/>
      <c r="H3" s="9"/>
      <c r="I3" s="9"/>
      <c r="J3" s="9"/>
      <c r="K3" s="228"/>
      <c r="L3" s="234"/>
      <c r="M3" s="229"/>
      <c r="N3" s="229"/>
      <c r="O3" s="229"/>
      <c r="P3" s="229"/>
      <c r="Q3" s="229"/>
      <c r="R3" s="229"/>
      <c r="S3" s="230"/>
      <c r="T3" s="230"/>
    </row>
    <row r="4">
      <c r="A4" s="239"/>
      <c r="B4" s="240"/>
      <c r="C4" s="240"/>
      <c r="D4" s="240"/>
      <c r="E4" s="241"/>
      <c r="F4" s="242"/>
      <c r="G4" s="242"/>
      <c r="H4" s="9"/>
      <c r="I4" s="9"/>
      <c r="J4" s="9"/>
      <c r="K4" s="228"/>
      <c r="L4" s="234"/>
      <c r="M4" s="229" t="s">
        <v>1</v>
      </c>
      <c r="N4" s="229"/>
      <c r="O4" s="229"/>
      <c r="P4" s="229"/>
      <c r="Q4" s="229"/>
      <c r="R4" s="229"/>
      <c r="S4" s="230"/>
      <c r="T4" s="229"/>
    </row>
    <row r="5" hidden="1">
      <c r="A5" s="12" t="s">
        <v>2</v>
      </c>
      <c r="B5" s="12" t="s">
        <v>3</v>
      </c>
      <c r="C5" s="12"/>
      <c r="D5" s="12"/>
      <c r="E5" s="243" t="s">
        <v>1413</v>
      </c>
      <c r="F5" s="243"/>
      <c r="G5" s="243"/>
      <c r="H5" s="12" t="s">
        <v>5</v>
      </c>
      <c r="I5" s="12" t="s">
        <v>5</v>
      </c>
      <c r="J5" s="12"/>
      <c r="K5" s="244"/>
      <c r="L5" s="234"/>
      <c r="M5" s="229"/>
      <c r="N5" s="245"/>
      <c r="O5" s="246"/>
      <c r="P5" s="229"/>
      <c r="Q5" s="229"/>
      <c r="R5" s="229"/>
      <c r="S5" s="230"/>
      <c r="T5" s="229"/>
    </row>
    <row r="6" hidden="1">
      <c r="A6" s="17">
        <v>802.0</v>
      </c>
      <c r="B6" s="18">
        <v>588.0</v>
      </c>
      <c r="C6" s="18"/>
      <c r="D6" s="18"/>
      <c r="E6" s="247">
        <f>countif(H9:H95,"Yes")</f>
        <v>39</v>
      </c>
      <c r="F6" s="247"/>
      <c r="G6" s="247"/>
      <c r="H6" s="248">
        <f t="shared" ref="H6:I6" si="1">countif($L$9:$L$95,"Yes")</f>
        <v>0</v>
      </c>
      <c r="I6" s="248">
        <f t="shared" si="1"/>
        <v>0</v>
      </c>
      <c r="J6" s="18"/>
      <c r="K6" s="244"/>
      <c r="L6" s="234"/>
      <c r="M6" s="229"/>
      <c r="N6" s="229"/>
      <c r="O6" s="229"/>
      <c r="P6" s="229"/>
      <c r="Q6" s="229"/>
      <c r="R6" s="229"/>
      <c r="S6" s="230"/>
      <c r="T6" s="229"/>
    </row>
    <row r="7" hidden="1">
      <c r="A7" s="20"/>
      <c r="B7" s="249"/>
      <c r="C7" s="250"/>
      <c r="D7" s="250"/>
      <c r="E7" s="251"/>
      <c r="F7" s="252"/>
      <c r="G7" s="252"/>
      <c r="H7" s="250"/>
      <c r="I7" s="250"/>
      <c r="J7" s="250"/>
      <c r="K7" s="253"/>
      <c r="L7" s="248">
        <f>countif(L9:L95,"Yes")</f>
        <v>0</v>
      </c>
      <c r="M7" s="254"/>
      <c r="N7" s="254"/>
      <c r="O7" s="254"/>
      <c r="P7" s="254"/>
      <c r="Q7" s="254"/>
      <c r="R7" s="254"/>
      <c r="S7" s="230"/>
      <c r="T7" s="229"/>
    </row>
    <row r="8">
      <c r="A8" s="26" t="s">
        <v>6</v>
      </c>
      <c r="B8" s="27" t="s">
        <v>6</v>
      </c>
      <c r="C8" s="255" t="s">
        <v>1324</v>
      </c>
      <c r="D8" s="255" t="s">
        <v>6</v>
      </c>
      <c r="E8" s="256" t="s">
        <v>1325</v>
      </c>
      <c r="F8" s="256" t="s">
        <v>1326</v>
      </c>
      <c r="G8" s="256" t="s">
        <v>1327</v>
      </c>
      <c r="H8" s="255" t="s">
        <v>7</v>
      </c>
      <c r="I8" s="255" t="s">
        <v>8</v>
      </c>
      <c r="J8" s="255" t="s">
        <v>8</v>
      </c>
      <c r="K8" s="257" t="s">
        <v>11</v>
      </c>
      <c r="L8" s="255" t="s">
        <v>12</v>
      </c>
      <c r="M8" s="243" t="s">
        <v>13</v>
      </c>
      <c r="N8" s="243" t="s">
        <v>14</v>
      </c>
      <c r="O8" s="243" t="s">
        <v>15</v>
      </c>
      <c r="P8" s="243" t="s">
        <v>16</v>
      </c>
      <c r="Q8" s="243" t="s">
        <v>17</v>
      </c>
      <c r="R8" s="243" t="s">
        <v>18</v>
      </c>
      <c r="S8" s="243"/>
      <c r="T8" s="379"/>
    </row>
    <row r="9">
      <c r="A9" s="258">
        <v>362.0</v>
      </c>
      <c r="B9" s="259">
        <v>362.0</v>
      </c>
      <c r="C9" s="260"/>
      <c r="D9" s="260"/>
      <c r="E9" s="262"/>
      <c r="F9" s="263"/>
      <c r="G9" s="263"/>
      <c r="H9" s="260"/>
      <c r="I9" s="260"/>
      <c r="J9" s="260"/>
      <c r="K9" s="264"/>
      <c r="L9" s="265"/>
      <c r="M9" s="266" t="s">
        <v>23</v>
      </c>
      <c r="N9" s="266" t="s">
        <v>24</v>
      </c>
      <c r="O9" s="266">
        <v>80.0</v>
      </c>
      <c r="P9" s="266" t="s">
        <v>25</v>
      </c>
      <c r="Q9" s="266" t="s">
        <v>26</v>
      </c>
      <c r="R9" s="268" t="s">
        <v>1330</v>
      </c>
      <c r="S9" s="380"/>
      <c r="T9" s="380"/>
    </row>
    <row r="10">
      <c r="A10" s="258">
        <v>1001.0</v>
      </c>
      <c r="B10" s="259">
        <v>1001.0</v>
      </c>
      <c r="C10" s="260"/>
      <c r="D10" s="260"/>
      <c r="E10" s="262"/>
      <c r="F10" s="263"/>
      <c r="G10" s="263"/>
      <c r="H10" s="260"/>
      <c r="I10" s="260"/>
      <c r="J10" s="260"/>
      <c r="K10" s="264"/>
      <c r="L10" s="265"/>
      <c r="M10" s="266" t="s">
        <v>28</v>
      </c>
      <c r="N10" s="269" t="s">
        <v>29</v>
      </c>
      <c r="O10" s="266" t="s">
        <v>30</v>
      </c>
      <c r="P10" s="266" t="s">
        <v>25</v>
      </c>
      <c r="Q10" s="269" t="s">
        <v>31</v>
      </c>
      <c r="R10" s="268" t="s">
        <v>1330</v>
      </c>
      <c r="S10" s="380"/>
      <c r="T10" s="380"/>
    </row>
    <row r="11">
      <c r="A11" s="258">
        <v>1120.0</v>
      </c>
      <c r="B11" s="259">
        <v>1120.0</v>
      </c>
      <c r="C11" s="260"/>
      <c r="D11" s="260"/>
      <c r="E11" s="270"/>
      <c r="F11" s="263"/>
      <c r="G11" s="263"/>
      <c r="H11" s="260"/>
      <c r="I11" s="260"/>
      <c r="J11" s="260"/>
      <c r="K11" s="264"/>
      <c r="L11" s="265"/>
      <c r="M11" s="266" t="s">
        <v>330</v>
      </c>
      <c r="N11" s="266" t="s">
        <v>1414</v>
      </c>
      <c r="O11" s="266"/>
      <c r="P11" s="266" t="s">
        <v>25</v>
      </c>
      <c r="Q11" s="266" t="s">
        <v>38</v>
      </c>
      <c r="R11" s="268" t="s">
        <v>1330</v>
      </c>
      <c r="S11" s="380"/>
      <c r="T11" s="380"/>
    </row>
    <row r="12">
      <c r="A12" s="258">
        <v>222.0</v>
      </c>
      <c r="B12" s="259">
        <v>222.0</v>
      </c>
      <c r="C12" s="260"/>
      <c r="D12" s="260"/>
      <c r="E12" s="270"/>
      <c r="F12" s="263"/>
      <c r="G12" s="263"/>
      <c r="H12" s="260"/>
      <c r="I12" s="260"/>
      <c r="J12" s="260"/>
      <c r="K12" s="264"/>
      <c r="L12" s="265"/>
      <c r="M12" s="266" t="s">
        <v>48</v>
      </c>
      <c r="N12" s="266" t="s">
        <v>1415</v>
      </c>
      <c r="O12" s="266" t="s">
        <v>42</v>
      </c>
      <c r="P12" s="266" t="s">
        <v>25</v>
      </c>
      <c r="Q12" s="266" t="s">
        <v>86</v>
      </c>
      <c r="R12" s="268" t="s">
        <v>1330</v>
      </c>
      <c r="S12" s="380"/>
      <c r="T12" s="380"/>
    </row>
    <row r="13">
      <c r="A13" s="258">
        <v>417.0</v>
      </c>
      <c r="B13" s="259">
        <v>417.0</v>
      </c>
      <c r="C13" s="260"/>
      <c r="D13" s="260"/>
      <c r="E13" s="270"/>
      <c r="F13" s="263"/>
      <c r="G13" s="263"/>
      <c r="H13" s="260"/>
      <c r="I13" s="260"/>
      <c r="J13" s="260"/>
      <c r="K13" s="271"/>
      <c r="L13" s="265"/>
      <c r="M13" s="266" t="s">
        <v>48</v>
      </c>
      <c r="N13" s="266" t="s">
        <v>1416</v>
      </c>
      <c r="O13" s="266" t="e">
        <v>#N/A</v>
      </c>
      <c r="P13" s="266" t="s">
        <v>1417</v>
      </c>
      <c r="Q13" s="266" t="s">
        <v>1418</v>
      </c>
      <c r="R13" s="268" t="s">
        <v>1330</v>
      </c>
      <c r="S13" s="380"/>
      <c r="T13" s="380"/>
    </row>
    <row r="14">
      <c r="A14" s="258">
        <v>884.0</v>
      </c>
      <c r="B14" s="259">
        <v>884.0</v>
      </c>
      <c r="C14" s="260"/>
      <c r="D14" s="260"/>
      <c r="E14" s="270"/>
      <c r="F14" s="263"/>
      <c r="G14" s="263"/>
      <c r="H14" s="260"/>
      <c r="I14" s="260"/>
      <c r="J14" s="260"/>
      <c r="K14" s="264"/>
      <c r="L14" s="265"/>
      <c r="M14" s="266" t="s">
        <v>48</v>
      </c>
      <c r="N14" s="266" t="s">
        <v>1416</v>
      </c>
      <c r="O14" s="266" t="e">
        <v>#N/A</v>
      </c>
      <c r="P14" s="266" t="s">
        <v>1417</v>
      </c>
      <c r="Q14" s="266" t="s">
        <v>1418</v>
      </c>
      <c r="R14" s="268" t="s">
        <v>1330</v>
      </c>
      <c r="S14" s="380"/>
      <c r="T14" s="380"/>
    </row>
    <row r="15">
      <c r="A15" s="272">
        <v>1285.0</v>
      </c>
      <c r="B15" s="272">
        <v>1285.0</v>
      </c>
      <c r="C15" s="260"/>
      <c r="D15" s="273"/>
      <c r="E15" s="274"/>
      <c r="F15" s="263"/>
      <c r="G15" s="263"/>
      <c r="H15" s="273"/>
      <c r="I15" s="273"/>
      <c r="J15" s="273"/>
      <c r="K15" s="275"/>
      <c r="L15" s="276"/>
      <c r="M15" s="277" t="s">
        <v>48</v>
      </c>
      <c r="N15" s="277" t="s">
        <v>49</v>
      </c>
      <c r="O15" s="277">
        <v>16.0</v>
      </c>
      <c r="P15" s="277" t="s">
        <v>25</v>
      </c>
      <c r="Q15" s="277">
        <v>654321.0</v>
      </c>
      <c r="R15" s="277" t="s">
        <v>1330</v>
      </c>
      <c r="S15" s="381"/>
      <c r="T15" s="381"/>
    </row>
    <row r="16">
      <c r="A16" s="258">
        <v>1220.0</v>
      </c>
      <c r="B16" s="259">
        <v>1220.0</v>
      </c>
      <c r="C16" s="260"/>
      <c r="D16" s="260"/>
      <c r="E16" s="262"/>
      <c r="F16" s="263"/>
      <c r="G16" s="263"/>
      <c r="H16" s="260"/>
      <c r="I16" s="260"/>
      <c r="J16" s="260"/>
      <c r="K16" s="264"/>
      <c r="L16" s="265"/>
      <c r="M16" s="266" t="s">
        <v>48</v>
      </c>
      <c r="N16" s="266" t="s">
        <v>52</v>
      </c>
      <c r="O16" s="266" t="s">
        <v>53</v>
      </c>
      <c r="P16" s="266" t="s">
        <v>54</v>
      </c>
      <c r="Q16" s="266" t="s">
        <v>55</v>
      </c>
      <c r="R16" s="277" t="s">
        <v>1330</v>
      </c>
      <c r="S16" s="381"/>
      <c r="T16" s="381"/>
    </row>
    <row r="17">
      <c r="A17" s="258">
        <v>55.0</v>
      </c>
      <c r="B17" s="259">
        <v>55.0</v>
      </c>
      <c r="C17" s="260"/>
      <c r="D17" s="260"/>
      <c r="E17" s="262"/>
      <c r="F17" s="263"/>
      <c r="G17" s="263"/>
      <c r="H17" s="260"/>
      <c r="I17" s="260"/>
      <c r="J17" s="260"/>
      <c r="K17" s="264"/>
      <c r="L17" s="265"/>
      <c r="M17" s="266" t="s">
        <v>48</v>
      </c>
      <c r="N17" s="266" t="s">
        <v>1419</v>
      </c>
      <c r="O17" s="266">
        <v>37777.0</v>
      </c>
      <c r="P17" s="266" t="s">
        <v>25</v>
      </c>
      <c r="Q17" s="266" t="s">
        <v>55</v>
      </c>
      <c r="R17" s="277" t="s">
        <v>1330</v>
      </c>
      <c r="S17" s="381"/>
      <c r="T17" s="381"/>
    </row>
    <row r="18">
      <c r="A18" s="258">
        <v>223.0</v>
      </c>
      <c r="B18" s="258">
        <v>223.0</v>
      </c>
      <c r="C18" s="260"/>
      <c r="D18" s="260"/>
      <c r="E18" s="262"/>
      <c r="F18" s="263"/>
      <c r="G18" s="263"/>
      <c r="H18" s="260"/>
      <c r="I18" s="260"/>
      <c r="J18" s="260"/>
      <c r="K18" s="264"/>
      <c r="L18" s="265"/>
      <c r="M18" s="266" t="s">
        <v>48</v>
      </c>
      <c r="N18" s="279" t="s">
        <v>1419</v>
      </c>
      <c r="O18" s="266">
        <v>2902.0</v>
      </c>
      <c r="P18" s="266" t="s">
        <v>25</v>
      </c>
      <c r="Q18" s="266" t="s">
        <v>55</v>
      </c>
      <c r="R18" s="277" t="s">
        <v>1330</v>
      </c>
      <c r="S18" s="381"/>
      <c r="T18" s="381"/>
    </row>
    <row r="19">
      <c r="A19" s="258">
        <v>1067.0</v>
      </c>
      <c r="B19" s="258">
        <v>1067.0</v>
      </c>
      <c r="C19" s="260"/>
      <c r="D19" s="260"/>
      <c r="E19" s="262"/>
      <c r="F19" s="263"/>
      <c r="G19" s="263"/>
      <c r="H19" s="260"/>
      <c r="I19" s="260"/>
      <c r="J19" s="260"/>
      <c r="K19" s="264"/>
      <c r="L19" s="265"/>
      <c r="M19" s="266" t="s">
        <v>28</v>
      </c>
      <c r="N19" s="266" t="s">
        <v>1420</v>
      </c>
      <c r="O19" s="266">
        <v>16.0</v>
      </c>
      <c r="P19" s="266" t="s">
        <v>25</v>
      </c>
      <c r="Q19" s="266" t="s">
        <v>65</v>
      </c>
      <c r="R19" s="277" t="s">
        <v>1330</v>
      </c>
      <c r="S19" s="381"/>
      <c r="T19" s="381"/>
    </row>
    <row r="20" hidden="1">
      <c r="A20" s="258">
        <v>1069.0</v>
      </c>
      <c r="B20" s="258">
        <v>1069.0</v>
      </c>
      <c r="C20" s="260">
        <v>12.0</v>
      </c>
      <c r="D20" s="260">
        <f>IFERROR(__xludf.DUMMYFUNCTION("if(B20&lt;=999,if(B20&lt;=99,IF(B20&lt;=9,join(,""000"",B20),join(,""00"",B20)),join(,""0"",B20)),B20)"),1069.0)</f>
        <v>1069</v>
      </c>
      <c r="E20" s="270" t="s">
        <v>1119</v>
      </c>
      <c r="F20" s="263"/>
      <c r="G20" s="263" t="str">
        <f>vlookup(B20,'Geotagging Master All-Training '!$A$2:$C$2474,3,false)</f>
        <v>#N/A</v>
      </c>
      <c r="H20" s="260" t="s">
        <v>20</v>
      </c>
      <c r="I20" s="260" t="str">
        <f>VLOOKUP(D20,'Copy of Form Responses; CCTV Infra 1'!$G$2:$I$675,2,false)</f>
        <v>#REF!</v>
      </c>
      <c r="J20" s="260" t="str">
        <f>VLOOKUP(D20,'Copy of Form Responses; CCTV Infra 1'!$G$2:$I$675,3,false)</f>
        <v>#REF!</v>
      </c>
      <c r="K20" s="264" t="s">
        <v>77</v>
      </c>
      <c r="L20" s="265" t="s">
        <v>35</v>
      </c>
      <c r="M20" s="266"/>
      <c r="N20" s="266"/>
      <c r="O20" s="266">
        <v>80.0</v>
      </c>
      <c r="P20" s="266"/>
      <c r="Q20" s="266"/>
      <c r="R20" s="338" t="s">
        <v>1421</v>
      </c>
      <c r="S20" s="382"/>
      <c r="T20" s="382"/>
    </row>
    <row r="21">
      <c r="A21" s="258">
        <v>29.0</v>
      </c>
      <c r="B21" s="258">
        <v>29.0</v>
      </c>
      <c r="C21" s="260"/>
      <c r="D21" s="260"/>
      <c r="E21" s="270"/>
      <c r="F21" s="263"/>
      <c r="G21" s="263"/>
      <c r="H21" s="260"/>
      <c r="I21" s="260"/>
      <c r="J21" s="260"/>
      <c r="K21" s="264"/>
      <c r="L21" s="265"/>
      <c r="M21" s="266" t="s">
        <v>330</v>
      </c>
      <c r="N21" s="266" t="s">
        <v>829</v>
      </c>
      <c r="O21" s="266">
        <v>25001.0</v>
      </c>
      <c r="P21" s="266" t="s">
        <v>25</v>
      </c>
      <c r="Q21" s="266" t="s">
        <v>1422</v>
      </c>
      <c r="R21" s="277" t="s">
        <v>1330</v>
      </c>
      <c r="S21" s="381"/>
      <c r="T21" s="381"/>
    </row>
    <row r="22" hidden="1">
      <c r="A22" s="258">
        <v>59.0</v>
      </c>
      <c r="B22" s="258">
        <v>59.0</v>
      </c>
      <c r="C22" s="260">
        <v>21.0</v>
      </c>
      <c r="D22" s="260" t="str">
        <f>IFERROR(__xludf.DUMMYFUNCTION("if(B22&lt;=999,if(B22&lt;=99,IF(B22&lt;=9,join(,""000"",B22),join(,""00"",B22)),join(,""0"",B22)),B22)"),"0059")</f>
        <v>0059</v>
      </c>
      <c r="E22" s="270" t="s">
        <v>90</v>
      </c>
      <c r="F22" s="263"/>
      <c r="G22" s="263" t="str">
        <f>vlookup(B22,'Geotagging Master All-Training '!$A$2:$C$2474,3,false)</f>
        <v>#N/A</v>
      </c>
      <c r="H22" s="260" t="s">
        <v>35</v>
      </c>
      <c r="I22" s="260" t="str">
        <f t="shared" ref="I22:I23" si="2">VLOOKUP(D22,'Copy of Form Responses; CCTV Infra 1'!$G$2:$I$675,2,false)</f>
        <v>#REF!</v>
      </c>
      <c r="J22" s="260" t="str">
        <f t="shared" ref="J22:J23" si="3">VLOOKUP(D22,'Copy of Form Responses; CCTV Infra 1'!$G$2:$I$675,3,false)</f>
        <v>#REF!</v>
      </c>
      <c r="K22" s="271"/>
      <c r="L22" s="265" t="s">
        <v>35</v>
      </c>
      <c r="M22" s="266"/>
      <c r="N22" s="266"/>
      <c r="O22" s="266" t="e">
        <v>#N/A</v>
      </c>
      <c r="P22" s="266"/>
      <c r="Q22" s="266"/>
      <c r="R22" s="338" t="s">
        <v>1423</v>
      </c>
      <c r="S22" s="382"/>
      <c r="T22" s="382"/>
    </row>
    <row r="23" hidden="1">
      <c r="A23" s="258">
        <v>1383.0</v>
      </c>
      <c r="B23" s="258">
        <v>1383.0</v>
      </c>
      <c r="C23" s="260">
        <v>32.0</v>
      </c>
      <c r="D23" s="260">
        <f>IFERROR(__xludf.DUMMYFUNCTION("if(B23&lt;=999,if(B23&lt;=99,IF(B23&lt;=9,join(,""000"",B23),join(,""00"",B23)),join(,""0"",B23)),B23)"),1383.0)</f>
        <v>1383</v>
      </c>
      <c r="E23" s="270" t="s">
        <v>115</v>
      </c>
      <c r="F23" s="263"/>
      <c r="G23" s="263" t="str">
        <f>vlookup(B23,'Geotagging Master All-Training '!$A$2:$C$2474,3,false)</f>
        <v>#N/A</v>
      </c>
      <c r="H23" s="260" t="s">
        <v>35</v>
      </c>
      <c r="I23" s="260" t="str">
        <f t="shared" si="2"/>
        <v>#REF!</v>
      </c>
      <c r="J23" s="260" t="str">
        <f t="shared" si="3"/>
        <v>#REF!</v>
      </c>
      <c r="K23" s="271"/>
      <c r="L23" s="265" t="s">
        <v>35</v>
      </c>
      <c r="M23" s="266"/>
      <c r="N23" s="266"/>
      <c r="O23" s="266" t="e">
        <v>#N/A</v>
      </c>
      <c r="P23" s="266"/>
      <c r="Q23" s="266"/>
      <c r="R23" s="338" t="s">
        <v>1423</v>
      </c>
      <c r="S23" s="382"/>
      <c r="T23" s="382"/>
    </row>
    <row r="24" hidden="1">
      <c r="A24" s="258">
        <v>72.0</v>
      </c>
      <c r="B24" s="259">
        <v>72.0</v>
      </c>
      <c r="C24" s="260">
        <v>47.0</v>
      </c>
      <c r="D24" s="260" t="str">
        <f>IFERROR(__xludf.DUMMYFUNCTION("if(B24&lt;=999,if(B24&lt;=99,IF(B24&lt;=9,join(,""000"",B24),join(,""00"",B24)),join(,""0"",B24)),B24)"),"0072")</f>
        <v>0072</v>
      </c>
      <c r="E24" s="270" t="s">
        <v>929</v>
      </c>
      <c r="F24" s="263"/>
      <c r="G24" s="263" t="str">
        <f>vlookup(B24,'Geotagging Master All-Training '!$A$2:$C$2474,3,false)</f>
        <v>#N/A</v>
      </c>
      <c r="H24" s="260" t="s">
        <v>20</v>
      </c>
      <c r="I24" s="260" t="s">
        <v>1345</v>
      </c>
      <c r="J24" s="260">
        <v>8.400331163E9</v>
      </c>
      <c r="K24" s="264" t="s">
        <v>99</v>
      </c>
      <c r="L24" s="265" t="s">
        <v>35</v>
      </c>
      <c r="M24" s="266" t="s">
        <v>23</v>
      </c>
      <c r="N24" s="266"/>
      <c r="O24" s="266" t="e">
        <v>#N/A</v>
      </c>
      <c r="P24" s="266"/>
      <c r="Q24" s="266"/>
      <c r="R24" s="338" t="s">
        <v>1424</v>
      </c>
      <c r="S24" s="382"/>
      <c r="T24" s="382"/>
    </row>
    <row r="25" hidden="1">
      <c r="A25" s="258">
        <v>118.0</v>
      </c>
      <c r="B25" s="258">
        <v>118.0</v>
      </c>
      <c r="C25" s="260">
        <v>63.0</v>
      </c>
      <c r="D25" s="260" t="str">
        <f>IFERROR(__xludf.DUMMYFUNCTION("if(B25&lt;=999,if(B25&lt;=99,IF(B25&lt;=9,join(,""000"",B25),join(,""00"",B25)),join(,""0"",B25)),B25)"),"0118")</f>
        <v>0118</v>
      </c>
      <c r="E25" s="270" t="s">
        <v>917</v>
      </c>
      <c r="F25" s="263"/>
      <c r="G25" s="263" t="str">
        <f>vlookup(B25,'Geotagging Master All-Training '!$A$2:$C$2474,3,false)</f>
        <v>#N/A</v>
      </c>
      <c r="H25" s="260" t="s">
        <v>20</v>
      </c>
      <c r="I25" s="260" t="str">
        <f t="shared" ref="I25:I32" si="4">VLOOKUP(D25,'Copy of Form Responses; CCTV Infra 1'!$G$2:$I$675,2,false)</f>
        <v>#REF!</v>
      </c>
      <c r="J25" s="260" t="str">
        <f t="shared" ref="J25:J33" si="5">VLOOKUP(D25,'Copy of Form Responses; CCTV Infra 1'!$G$2:$I$675,3,false)</f>
        <v>#REF!</v>
      </c>
      <c r="K25" s="264" t="s">
        <v>60</v>
      </c>
      <c r="L25" s="265" t="s">
        <v>35</v>
      </c>
      <c r="M25" s="266"/>
      <c r="N25" s="266"/>
      <c r="O25" s="266">
        <v>16.0</v>
      </c>
      <c r="P25" s="266"/>
      <c r="Q25" s="266"/>
      <c r="R25" s="338" t="s">
        <v>918</v>
      </c>
      <c r="S25" s="382"/>
      <c r="T25" s="382"/>
    </row>
    <row r="26" hidden="1">
      <c r="A26" s="258">
        <v>1123.0</v>
      </c>
      <c r="B26" s="258">
        <v>1123.0</v>
      </c>
      <c r="C26" s="260">
        <v>73.0</v>
      </c>
      <c r="D26" s="260">
        <f>IFERROR(__xludf.DUMMYFUNCTION("if(B26&lt;=999,if(B26&lt;=99,IF(B26&lt;=9,join(,""000"",B26),join(,""00"",B26)),join(,""0"",B26)),B26)"),1123.0)</f>
        <v>1123</v>
      </c>
      <c r="E26" s="270" t="s">
        <v>653</v>
      </c>
      <c r="F26" s="263"/>
      <c r="G26" s="263" t="str">
        <f>vlookup(B26,'Geotagging Master All-Training '!$A$2:$C$2474,3,false)</f>
        <v>#N/A</v>
      </c>
      <c r="H26" s="260" t="s">
        <v>20</v>
      </c>
      <c r="I26" s="260" t="str">
        <f t="shared" si="4"/>
        <v>#REF!</v>
      </c>
      <c r="J26" s="260" t="str">
        <f t="shared" si="5"/>
        <v>#REF!</v>
      </c>
      <c r="K26" s="264" t="s">
        <v>22</v>
      </c>
      <c r="L26" s="265" t="s">
        <v>35</v>
      </c>
      <c r="M26" s="266" t="s">
        <v>95</v>
      </c>
      <c r="N26" s="266"/>
      <c r="O26" s="266" t="e">
        <v>#N/A</v>
      </c>
      <c r="P26" s="266"/>
      <c r="Q26" s="266"/>
      <c r="R26" s="338" t="s">
        <v>654</v>
      </c>
      <c r="S26" s="382"/>
      <c r="T26" s="382"/>
    </row>
    <row r="27" hidden="1">
      <c r="A27" s="258">
        <v>396.0</v>
      </c>
      <c r="B27" s="258">
        <v>396.0</v>
      </c>
      <c r="C27" s="260">
        <v>76.0</v>
      </c>
      <c r="D27" s="260" t="str">
        <f>IFERROR(__xludf.DUMMYFUNCTION("if(B27&lt;=999,if(B27&lt;=99,IF(B27&lt;=9,join(,""000"",B27),join(,""00"",B27)),join(,""0"",B27)),B27)"),"0396")</f>
        <v>0396</v>
      </c>
      <c r="E27" s="270" t="s">
        <v>214</v>
      </c>
      <c r="F27" s="263"/>
      <c r="G27" s="263" t="str">
        <f>vlookup(B27,'Geotagging Master All-Training '!$A$2:$C$2474,3,false)</f>
        <v>#N/A</v>
      </c>
      <c r="H27" s="260" t="s">
        <v>35</v>
      </c>
      <c r="I27" s="260" t="str">
        <f t="shared" si="4"/>
        <v>#REF!</v>
      </c>
      <c r="J27" s="260" t="str">
        <f t="shared" si="5"/>
        <v>#REF!</v>
      </c>
      <c r="K27" s="271"/>
      <c r="L27" s="265" t="s">
        <v>35</v>
      </c>
      <c r="M27" s="266"/>
      <c r="N27" s="266"/>
      <c r="O27" s="266" t="e">
        <v>#N/A</v>
      </c>
      <c r="P27" s="266"/>
      <c r="Q27" s="266"/>
      <c r="R27" s="338" t="s">
        <v>1423</v>
      </c>
      <c r="S27" s="382"/>
      <c r="T27" s="382"/>
    </row>
    <row r="28" hidden="1">
      <c r="A28" s="258">
        <v>1237.0</v>
      </c>
      <c r="B28" s="258">
        <v>1237.0</v>
      </c>
      <c r="C28" s="260">
        <v>79.0</v>
      </c>
      <c r="D28" s="260">
        <f>IFERROR(__xludf.DUMMYFUNCTION("if(B28&lt;=999,if(B28&lt;=99,IF(B28&lt;=9,join(,""000"",B28),join(,""00"",B28)),join(,""0"",B28)),B28)"),1237.0)</f>
        <v>1237</v>
      </c>
      <c r="E28" s="270" t="s">
        <v>219</v>
      </c>
      <c r="F28" s="263"/>
      <c r="G28" s="263" t="str">
        <f>vlookup(B28,'Geotagging Master All-Training '!$A$2:$C$2474,3,false)</f>
        <v>#N/A</v>
      </c>
      <c r="H28" s="260" t="s">
        <v>35</v>
      </c>
      <c r="I28" s="260" t="str">
        <f t="shared" si="4"/>
        <v>#REF!</v>
      </c>
      <c r="J28" s="260" t="str">
        <f t="shared" si="5"/>
        <v>#REF!</v>
      </c>
      <c r="K28" s="271"/>
      <c r="L28" s="265" t="s">
        <v>35</v>
      </c>
      <c r="M28" s="266"/>
      <c r="N28" s="266"/>
      <c r="O28" s="266" t="e">
        <v>#N/A</v>
      </c>
      <c r="P28" s="266"/>
      <c r="Q28" s="266"/>
      <c r="R28" s="338" t="s">
        <v>1423</v>
      </c>
      <c r="S28" s="382"/>
      <c r="T28" s="382"/>
    </row>
    <row r="29" hidden="1">
      <c r="A29" s="258">
        <v>1039.0</v>
      </c>
      <c r="B29" s="258">
        <v>1039.0</v>
      </c>
      <c r="C29" s="260">
        <v>81.0</v>
      </c>
      <c r="D29" s="260">
        <f>IFERROR(__xludf.DUMMYFUNCTION("if(B29&lt;=999,if(B29&lt;=99,IF(B29&lt;=9,join(,""000"",B29),join(,""00"",B29)),join(,""0"",B29)),B29)"),1039.0)</f>
        <v>1039</v>
      </c>
      <c r="E29" s="270" t="s">
        <v>1160</v>
      </c>
      <c r="F29" s="263"/>
      <c r="G29" s="263" t="str">
        <f>vlookup(B29,'Geotagging Master All-Training '!$A$2:$C$2474,3,false)</f>
        <v>#N/A</v>
      </c>
      <c r="H29" s="260" t="s">
        <v>20</v>
      </c>
      <c r="I29" s="260" t="str">
        <f t="shared" si="4"/>
        <v>#REF!</v>
      </c>
      <c r="J29" s="260" t="str">
        <f t="shared" si="5"/>
        <v>#REF!</v>
      </c>
      <c r="K29" s="264" t="s">
        <v>99</v>
      </c>
      <c r="L29" s="265" t="s">
        <v>35</v>
      </c>
      <c r="M29" s="266"/>
      <c r="N29" s="266"/>
      <c r="O29" s="266">
        <v>80.0</v>
      </c>
      <c r="P29" s="266"/>
      <c r="Q29" s="266"/>
      <c r="R29" s="338" t="s">
        <v>1425</v>
      </c>
      <c r="S29" s="382"/>
      <c r="T29" s="382"/>
    </row>
    <row r="30" hidden="1">
      <c r="A30" s="258">
        <v>1227.0</v>
      </c>
      <c r="B30" s="258">
        <v>1227.0</v>
      </c>
      <c r="C30" s="260">
        <v>85.0</v>
      </c>
      <c r="D30" s="260">
        <f>IFERROR(__xludf.DUMMYFUNCTION("if(B30&lt;=999,if(B30&lt;=99,IF(B30&lt;=9,join(,""000"",B30),join(,""00"",B30)),join(,""0"",B30)),B30)"),1227.0)</f>
        <v>1227</v>
      </c>
      <c r="E30" s="270" t="s">
        <v>237</v>
      </c>
      <c r="F30" s="263"/>
      <c r="G30" s="263" t="str">
        <f>vlookup(B30,'Geotagging Master All-Training '!$A$2:$C$2474,3,false)</f>
        <v>#N/A</v>
      </c>
      <c r="H30" s="260" t="s">
        <v>35</v>
      </c>
      <c r="I30" s="260" t="str">
        <f t="shared" si="4"/>
        <v>#REF!</v>
      </c>
      <c r="J30" s="260" t="str">
        <f t="shared" si="5"/>
        <v>#REF!</v>
      </c>
      <c r="K30" s="271"/>
      <c r="L30" s="265" t="s">
        <v>35</v>
      </c>
      <c r="M30" s="266"/>
      <c r="N30" s="266"/>
      <c r="O30" s="266" t="e">
        <v>#N/A</v>
      </c>
      <c r="P30" s="266"/>
      <c r="Q30" s="266"/>
      <c r="R30" s="338" t="s">
        <v>1423</v>
      </c>
      <c r="S30" s="382"/>
      <c r="T30" s="382"/>
    </row>
    <row r="31" hidden="1">
      <c r="A31" s="258">
        <v>687.0</v>
      </c>
      <c r="B31" s="258">
        <v>687.0</v>
      </c>
      <c r="C31" s="260">
        <v>111.0</v>
      </c>
      <c r="D31" s="260" t="str">
        <f>IFERROR(__xludf.DUMMYFUNCTION("if(B31&lt;=999,if(B31&lt;=99,IF(B31&lt;=9,join(,""000"",B31),join(,""00"",B31)),join(,""0"",B31)),B31)"),"0687")</f>
        <v>0687</v>
      </c>
      <c r="E31" s="270" t="s">
        <v>302</v>
      </c>
      <c r="F31" s="263"/>
      <c r="G31" s="263" t="str">
        <f>vlookup(B31,'Geotagging Master All-Training '!$A$2:$C$2474,3,false)</f>
        <v>#N/A</v>
      </c>
      <c r="H31" s="260" t="s">
        <v>35</v>
      </c>
      <c r="I31" s="260" t="str">
        <f t="shared" si="4"/>
        <v>#REF!</v>
      </c>
      <c r="J31" s="260" t="str">
        <f t="shared" si="5"/>
        <v>#REF!</v>
      </c>
      <c r="K31" s="271"/>
      <c r="L31" s="265" t="s">
        <v>35</v>
      </c>
      <c r="M31" s="266"/>
      <c r="N31" s="266"/>
      <c r="O31" s="266" t="e">
        <v>#N/A</v>
      </c>
      <c r="P31" s="266"/>
      <c r="Q31" s="266"/>
      <c r="R31" s="338" t="s">
        <v>1423</v>
      </c>
      <c r="S31" s="382"/>
      <c r="T31" s="382"/>
    </row>
    <row r="32" hidden="1">
      <c r="A32" s="258">
        <v>233.0</v>
      </c>
      <c r="B32" s="258">
        <v>233.0</v>
      </c>
      <c r="C32" s="260">
        <v>114.0</v>
      </c>
      <c r="D32" s="260" t="str">
        <f>IFERROR(__xludf.DUMMYFUNCTION("if(B32&lt;=999,if(B32&lt;=99,IF(B32&lt;=9,join(,""000"",B32),join(,""00"",B32)),join(,""0"",B32)),B32)"),"0233")</f>
        <v>0233</v>
      </c>
      <c r="E32" s="270" t="s">
        <v>224</v>
      </c>
      <c r="F32" s="263"/>
      <c r="G32" s="263" t="str">
        <f>vlookup(B32,'Geotagging Master All-Training '!$A$2:$C$2474,3,false)</f>
        <v>#N/A</v>
      </c>
      <c r="H32" s="260" t="s">
        <v>20</v>
      </c>
      <c r="I32" s="260" t="str">
        <f t="shared" si="4"/>
        <v>#REF!</v>
      </c>
      <c r="J32" s="260" t="str">
        <f t="shared" si="5"/>
        <v>#REF!</v>
      </c>
      <c r="K32" s="264" t="s">
        <v>60</v>
      </c>
      <c r="L32" s="265" t="s">
        <v>35</v>
      </c>
      <c r="M32" s="266"/>
      <c r="N32" s="266" t="s">
        <v>1426</v>
      </c>
      <c r="O32" s="266" t="s">
        <v>225</v>
      </c>
      <c r="P32" s="383" t="s">
        <v>25</v>
      </c>
      <c r="Q32" s="266" t="s">
        <v>55</v>
      </c>
      <c r="R32" s="338" t="s">
        <v>1427</v>
      </c>
      <c r="S32" s="382"/>
      <c r="T32" s="382"/>
    </row>
    <row r="33" hidden="1">
      <c r="A33" s="258">
        <v>1369.0</v>
      </c>
      <c r="B33" s="258">
        <v>1369.0</v>
      </c>
      <c r="C33" s="260">
        <v>122.0</v>
      </c>
      <c r="D33" s="260">
        <f>IFERROR(__xludf.DUMMYFUNCTION("if(B33&lt;=999,if(B33&lt;=99,IF(B33&lt;=9,join(,""000"",B33),join(,""00"",B33)),join(,""0"",B33)),B33)"),1369.0)</f>
        <v>1369</v>
      </c>
      <c r="E33" s="270" t="s">
        <v>305</v>
      </c>
      <c r="F33" s="263"/>
      <c r="G33" s="263" t="str">
        <f>vlookup(B33,'Geotagging Master All-Training '!$A$2:$C$2474,3,false)</f>
        <v>#N/A</v>
      </c>
      <c r="H33" s="260" t="s">
        <v>20</v>
      </c>
      <c r="I33" s="260" t="s">
        <v>1428</v>
      </c>
      <c r="J33" s="260" t="str">
        <f t="shared" si="5"/>
        <v>#REF!</v>
      </c>
      <c r="K33" s="264" t="s">
        <v>77</v>
      </c>
      <c r="L33" s="265" t="s">
        <v>35</v>
      </c>
      <c r="M33" s="266"/>
      <c r="N33" s="266"/>
      <c r="O33" s="266">
        <v>4.250593433136E12</v>
      </c>
      <c r="P33" s="266"/>
      <c r="Q33" s="266"/>
      <c r="R33" s="338" t="s">
        <v>1429</v>
      </c>
      <c r="S33" s="382"/>
      <c r="T33" s="382"/>
    </row>
    <row r="34" hidden="1">
      <c r="A34" s="258">
        <v>1204.0</v>
      </c>
      <c r="B34" s="258">
        <v>1204.0</v>
      </c>
      <c r="C34" s="260">
        <v>123.0</v>
      </c>
      <c r="D34" s="260">
        <f>IFERROR(__xludf.DUMMYFUNCTION("if(B34&lt;=999,if(B34&lt;=99,IF(B34&lt;=9,join(,""000"",B34),join(,""00"",B34)),join(,""0"",B34)),B34)"),1204.0)</f>
        <v>1204</v>
      </c>
      <c r="E34" s="384" t="s">
        <v>304</v>
      </c>
      <c r="F34" s="263"/>
      <c r="G34" s="263" t="str">
        <f>vlookup(B34,'Geotagging Master All-Training '!$A$2:$C$2474,3,false)</f>
        <v>#N/A</v>
      </c>
      <c r="H34" s="260" t="s">
        <v>35</v>
      </c>
      <c r="I34" s="260" t="s">
        <v>1430</v>
      </c>
      <c r="J34" s="260">
        <v>9.012102362E9</v>
      </c>
      <c r="K34" s="271"/>
      <c r="L34" s="265" t="s">
        <v>35</v>
      </c>
      <c r="M34" s="266"/>
      <c r="N34" s="266" t="s">
        <v>1431</v>
      </c>
      <c r="O34" s="266" t="e">
        <v>#N/A</v>
      </c>
      <c r="P34" s="266"/>
      <c r="Q34" s="266"/>
      <c r="R34" s="338" t="s">
        <v>50</v>
      </c>
      <c r="S34" s="382"/>
      <c r="T34" s="382"/>
    </row>
    <row r="35" hidden="1">
      <c r="A35" s="258">
        <v>461.0</v>
      </c>
      <c r="B35" s="258">
        <v>461.0</v>
      </c>
      <c r="C35" s="260">
        <v>137.0</v>
      </c>
      <c r="D35" s="260" t="str">
        <f>IFERROR(__xludf.DUMMYFUNCTION("if(B35&lt;=999,if(B35&lt;=99,IF(B35&lt;=9,join(,""000"",B35),join(,""00"",B35)),join(,""0"",B35)),B35)"),"0461")</f>
        <v>0461</v>
      </c>
      <c r="E35" s="270" t="s">
        <v>351</v>
      </c>
      <c r="F35" s="263"/>
      <c r="G35" s="263" t="str">
        <f>vlookup(B35,'Geotagging Master All-Training '!$A$2:$C$2474,3,false)</f>
        <v>#N/A</v>
      </c>
      <c r="H35" s="260" t="s">
        <v>35</v>
      </c>
      <c r="I35" s="260" t="str">
        <f t="shared" ref="I35:I50" si="6">VLOOKUP(D35,'Copy of Form Responses; CCTV Infra 1'!$G$2:$I$675,2,false)</f>
        <v>#REF!</v>
      </c>
      <c r="J35" s="260" t="str">
        <f t="shared" ref="J35:J50" si="7">VLOOKUP(D35,'Copy of Form Responses; CCTV Infra 1'!$G$2:$I$675,3,false)</f>
        <v>#REF!</v>
      </c>
      <c r="K35" s="271"/>
      <c r="L35" s="265" t="s">
        <v>35</v>
      </c>
      <c r="M35" s="266"/>
      <c r="N35" s="266"/>
      <c r="O35" s="266" t="e">
        <v>#N/A</v>
      </c>
      <c r="P35" s="266"/>
      <c r="Q35" s="266"/>
      <c r="R35" s="338" t="s">
        <v>1423</v>
      </c>
      <c r="S35" s="382"/>
      <c r="T35" s="382"/>
    </row>
    <row r="36" hidden="1">
      <c r="A36" s="258">
        <v>1324.0</v>
      </c>
      <c r="B36" s="258">
        <v>1324.0</v>
      </c>
      <c r="C36" s="260">
        <v>144.0</v>
      </c>
      <c r="D36" s="260">
        <f>IFERROR(__xludf.DUMMYFUNCTION("if(B36&lt;=999,if(B36&lt;=99,IF(B36&lt;=9,join(,""000"",B36),join(,""00"",B36)),join(,""0"",B36)),B36)"),1324.0)</f>
        <v>1324</v>
      </c>
      <c r="E36" s="270" t="s">
        <v>366</v>
      </c>
      <c r="F36" s="263"/>
      <c r="G36" s="263" t="str">
        <f>vlookup(B36,'Geotagging Master All-Training '!$A$2:$C$2474,3,false)</f>
        <v>#N/A</v>
      </c>
      <c r="H36" s="260" t="s">
        <v>35</v>
      </c>
      <c r="I36" s="260" t="str">
        <f t="shared" si="6"/>
        <v>#REF!</v>
      </c>
      <c r="J36" s="260" t="str">
        <f t="shared" si="7"/>
        <v>#REF!</v>
      </c>
      <c r="K36" s="271"/>
      <c r="L36" s="265" t="s">
        <v>35</v>
      </c>
      <c r="M36" s="266"/>
      <c r="N36" s="266"/>
      <c r="O36" s="266" t="e">
        <v>#N/A</v>
      </c>
      <c r="P36" s="266"/>
      <c r="Q36" s="266"/>
      <c r="R36" s="338" t="s">
        <v>1423</v>
      </c>
      <c r="S36" s="382"/>
      <c r="T36" s="382"/>
    </row>
    <row r="37" hidden="1">
      <c r="A37" s="258">
        <v>77.0</v>
      </c>
      <c r="B37" s="258">
        <v>77.0</v>
      </c>
      <c r="C37" s="260">
        <v>160.0</v>
      </c>
      <c r="D37" s="260" t="str">
        <f>IFERROR(__xludf.DUMMYFUNCTION("if(B37&lt;=999,if(B37&lt;=99,IF(B37&lt;=9,join(,""000"",B37),join(,""00"",B37)),join(,""0"",B37)),B37)"),"0077")</f>
        <v>0077</v>
      </c>
      <c r="E37" s="270" t="s">
        <v>412</v>
      </c>
      <c r="F37" s="263"/>
      <c r="G37" s="263" t="str">
        <f>vlookup(B37,'Geotagging Master All-Training '!$A$2:$C$2474,3,false)</f>
        <v>#N/A</v>
      </c>
      <c r="H37" s="260" t="s">
        <v>20</v>
      </c>
      <c r="I37" s="260" t="str">
        <f t="shared" si="6"/>
        <v>#REF!</v>
      </c>
      <c r="J37" s="260" t="str">
        <f t="shared" si="7"/>
        <v>#REF!</v>
      </c>
      <c r="K37" s="271"/>
      <c r="L37" s="265" t="s">
        <v>35</v>
      </c>
      <c r="M37" s="266" t="s">
        <v>95</v>
      </c>
      <c r="N37" s="266" t="s">
        <v>1432</v>
      </c>
      <c r="O37" s="266">
        <v>8.0</v>
      </c>
      <c r="P37" s="266" t="s">
        <v>25</v>
      </c>
      <c r="Q37" s="266" t="s">
        <v>1433</v>
      </c>
      <c r="R37" s="338" t="s">
        <v>87</v>
      </c>
      <c r="S37" s="382"/>
      <c r="T37" s="382"/>
    </row>
    <row r="38" hidden="1">
      <c r="A38" s="258">
        <v>469.0</v>
      </c>
      <c r="B38" s="258">
        <v>469.0</v>
      </c>
      <c r="C38" s="260">
        <v>167.0</v>
      </c>
      <c r="D38" s="260" t="str">
        <f>IFERROR(__xludf.DUMMYFUNCTION("if(B38&lt;=999,if(B38&lt;=99,IF(B38&lt;=9,join(,""000"",B38),join(,""00"",B38)),join(,""0"",B38)),B38)"),"0469")</f>
        <v>0469</v>
      </c>
      <c r="E38" s="270" t="s">
        <v>462</v>
      </c>
      <c r="F38" s="263"/>
      <c r="G38" s="263" t="str">
        <f>vlookup(B38,'Geotagging Master All-Training '!$A$2:$C$2474,3,false)</f>
        <v>#N/A</v>
      </c>
      <c r="H38" s="260" t="s">
        <v>20</v>
      </c>
      <c r="I38" s="260" t="str">
        <f t="shared" si="6"/>
        <v>#REF!</v>
      </c>
      <c r="J38" s="260" t="str">
        <f t="shared" si="7"/>
        <v>#REF!</v>
      </c>
      <c r="K38" s="264" t="s">
        <v>34</v>
      </c>
      <c r="L38" s="265" t="s">
        <v>35</v>
      </c>
      <c r="M38" s="266" t="s">
        <v>95</v>
      </c>
      <c r="N38" s="266"/>
      <c r="O38" s="266" t="e">
        <v>#N/A</v>
      </c>
      <c r="P38" s="266"/>
      <c r="Q38" s="266"/>
      <c r="R38" s="338" t="s">
        <v>43</v>
      </c>
      <c r="S38" s="382"/>
      <c r="T38" s="382"/>
    </row>
    <row r="39" hidden="1">
      <c r="A39" s="258">
        <v>56.0</v>
      </c>
      <c r="B39" s="258">
        <v>56.0</v>
      </c>
      <c r="C39" s="260">
        <v>174.0</v>
      </c>
      <c r="D39" s="260" t="str">
        <f>IFERROR(__xludf.DUMMYFUNCTION("if(B39&lt;=999,if(B39&lt;=99,IF(B39&lt;=9,join(,""000"",B39),join(,""00"",B39)),join(,""0"",B39)),B39)"),"0056")</f>
        <v>0056</v>
      </c>
      <c r="E39" s="270" t="s">
        <v>466</v>
      </c>
      <c r="F39" s="263"/>
      <c r="G39" s="263" t="str">
        <f>vlookup(B39,'Geotagging Master All-Training '!$A$2:$C$2474,3,false)</f>
        <v>#N/A</v>
      </c>
      <c r="H39" s="260" t="s">
        <v>20</v>
      </c>
      <c r="I39" s="260" t="str">
        <f t="shared" si="6"/>
        <v>#REF!</v>
      </c>
      <c r="J39" s="260" t="str">
        <f t="shared" si="7"/>
        <v>#REF!</v>
      </c>
      <c r="K39" s="264" t="s">
        <v>22</v>
      </c>
      <c r="L39" s="265" t="s">
        <v>35</v>
      </c>
      <c r="M39" s="266"/>
      <c r="N39" s="266"/>
      <c r="O39" s="266" t="e">
        <v>#N/A</v>
      </c>
      <c r="P39" s="266"/>
      <c r="Q39" s="266"/>
      <c r="R39" s="338" t="s">
        <v>43</v>
      </c>
      <c r="S39" s="382"/>
      <c r="T39" s="382"/>
    </row>
    <row r="40" hidden="1">
      <c r="A40" s="258">
        <v>1054.0</v>
      </c>
      <c r="B40" s="258">
        <v>1054.0</v>
      </c>
      <c r="C40" s="260">
        <v>181.0</v>
      </c>
      <c r="D40" s="260">
        <f>IFERROR(__xludf.DUMMYFUNCTION("if(B40&lt;=999,if(B40&lt;=99,IF(B40&lt;=9,join(,""000"",B40),join(,""00"",B40)),join(,""0"",B40)),B40)"),1054.0)</f>
        <v>1054</v>
      </c>
      <c r="E40" s="270" t="s">
        <v>463</v>
      </c>
      <c r="F40" s="263"/>
      <c r="G40" s="263" t="str">
        <f>vlookup(B40,'Geotagging Master All-Training '!$A$2:$C$2474,3,false)</f>
        <v>#N/A</v>
      </c>
      <c r="H40" s="260" t="s">
        <v>35</v>
      </c>
      <c r="I40" s="260" t="str">
        <f t="shared" si="6"/>
        <v>#REF!</v>
      </c>
      <c r="J40" s="260" t="str">
        <f t="shared" si="7"/>
        <v>#REF!</v>
      </c>
      <c r="K40" s="271"/>
      <c r="L40" s="265" t="s">
        <v>35</v>
      </c>
      <c r="M40" s="266"/>
      <c r="N40" s="266"/>
      <c r="O40" s="266" t="e">
        <v>#N/A</v>
      </c>
      <c r="P40" s="266"/>
      <c r="Q40" s="266"/>
      <c r="R40" s="338" t="s">
        <v>1423</v>
      </c>
      <c r="S40" s="382"/>
      <c r="T40" s="382"/>
    </row>
    <row r="41" hidden="1">
      <c r="A41" s="258">
        <v>1215.0</v>
      </c>
      <c r="B41" s="258">
        <v>1215.0</v>
      </c>
      <c r="C41" s="260">
        <v>182.0</v>
      </c>
      <c r="D41" s="260">
        <f>IFERROR(__xludf.DUMMYFUNCTION("if(B41&lt;=999,if(B41&lt;=99,IF(B41&lt;=9,join(,""000"",B41),join(,""00"",B41)),join(,""0"",B41)),B41)"),1215.0)</f>
        <v>1215</v>
      </c>
      <c r="E41" s="270" t="s">
        <v>464</v>
      </c>
      <c r="F41" s="263"/>
      <c r="G41" s="263" t="str">
        <f>vlookup(B41,'Geotagging Master All-Training '!$A$2:$C$2474,3,false)</f>
        <v>#N/A</v>
      </c>
      <c r="H41" s="260" t="s">
        <v>35</v>
      </c>
      <c r="I41" s="260" t="str">
        <f t="shared" si="6"/>
        <v>#REF!</v>
      </c>
      <c r="J41" s="260" t="str">
        <f t="shared" si="7"/>
        <v>#REF!</v>
      </c>
      <c r="K41" s="271"/>
      <c r="L41" s="265" t="s">
        <v>35</v>
      </c>
      <c r="M41" s="266"/>
      <c r="N41" s="266"/>
      <c r="O41" s="266" t="e">
        <v>#N/A</v>
      </c>
      <c r="P41" s="266"/>
      <c r="Q41" s="266"/>
      <c r="R41" s="338" t="s">
        <v>1423</v>
      </c>
      <c r="S41" s="382"/>
      <c r="T41" s="382"/>
    </row>
    <row r="42" hidden="1">
      <c r="A42" s="258">
        <v>123.0</v>
      </c>
      <c r="B42" s="258">
        <v>123.0</v>
      </c>
      <c r="C42" s="260">
        <v>183.0</v>
      </c>
      <c r="D42" s="260" t="str">
        <f>IFERROR(__xludf.DUMMYFUNCTION("if(B42&lt;=999,if(B42&lt;=99,IF(B42&lt;=9,join(,""000"",B42),join(,""00"",B42)),join(,""0"",B42)),B42)"),"0123")</f>
        <v>0123</v>
      </c>
      <c r="E42" s="270" t="s">
        <v>465</v>
      </c>
      <c r="F42" s="263"/>
      <c r="G42" s="263" t="str">
        <f>vlookup(B42,'Geotagging Master All-Training '!$A$2:$C$2474,3,false)</f>
        <v>#N/A</v>
      </c>
      <c r="H42" s="260" t="s">
        <v>35</v>
      </c>
      <c r="I42" s="260" t="str">
        <f t="shared" si="6"/>
        <v>#REF!</v>
      </c>
      <c r="J42" s="260" t="str">
        <f t="shared" si="7"/>
        <v>#REF!</v>
      </c>
      <c r="K42" s="271"/>
      <c r="L42" s="265" t="s">
        <v>35</v>
      </c>
      <c r="M42" s="266"/>
      <c r="N42" s="266"/>
      <c r="O42" s="266" t="e">
        <v>#N/A</v>
      </c>
      <c r="P42" s="266"/>
      <c r="Q42" s="266"/>
      <c r="R42" s="338" t="s">
        <v>1423</v>
      </c>
      <c r="S42" s="382"/>
      <c r="T42" s="382"/>
    </row>
    <row r="43" hidden="1">
      <c r="A43" s="258">
        <v>1322.0</v>
      </c>
      <c r="B43" s="258">
        <v>1322.0</v>
      </c>
      <c r="C43" s="260">
        <v>216.0</v>
      </c>
      <c r="D43" s="260">
        <f>IFERROR(__xludf.DUMMYFUNCTION("if(B43&lt;=999,if(B43&lt;=99,IF(B43&lt;=9,join(,""000"",B43),join(,""00"",B43)),join(,""0"",B43)),B43)"),1322.0)</f>
        <v>1322</v>
      </c>
      <c r="E43" s="270" t="s">
        <v>544</v>
      </c>
      <c r="F43" s="263"/>
      <c r="G43" s="263" t="str">
        <f>vlookup(B43,'Geotagging Master All-Training '!$A$2:$C$2474,3,false)</f>
        <v>#N/A</v>
      </c>
      <c r="H43" s="260" t="s">
        <v>35</v>
      </c>
      <c r="I43" s="260" t="str">
        <f t="shared" si="6"/>
        <v>#REF!</v>
      </c>
      <c r="J43" s="260" t="str">
        <f t="shared" si="7"/>
        <v>#REF!</v>
      </c>
      <c r="K43" s="264"/>
      <c r="L43" s="265" t="s">
        <v>35</v>
      </c>
      <c r="M43" s="266"/>
      <c r="N43" s="266"/>
      <c r="O43" s="266" t="e">
        <v>#N/A</v>
      </c>
      <c r="P43" s="266"/>
      <c r="Q43" s="266"/>
      <c r="R43" s="338" t="s">
        <v>1423</v>
      </c>
      <c r="S43" s="382"/>
      <c r="T43" s="382"/>
    </row>
    <row r="44" hidden="1">
      <c r="A44" s="258">
        <v>465.0</v>
      </c>
      <c r="B44" s="258">
        <v>465.0</v>
      </c>
      <c r="C44" s="260">
        <v>217.0</v>
      </c>
      <c r="D44" s="260" t="str">
        <f>IFERROR(__xludf.DUMMYFUNCTION("if(B44&lt;=999,if(B44&lt;=99,IF(B44&lt;=9,join(,""000"",B44),join(,""00"",B44)),join(,""0"",B44)),B44)"),"0465")</f>
        <v>0465</v>
      </c>
      <c r="E44" s="270" t="s">
        <v>545</v>
      </c>
      <c r="F44" s="263"/>
      <c r="G44" s="263" t="str">
        <f>vlookup(B44,'Geotagging Master All-Training '!$A$2:$C$2474,3,false)</f>
        <v>#N/A</v>
      </c>
      <c r="H44" s="260" t="s">
        <v>35</v>
      </c>
      <c r="I44" s="260" t="str">
        <f t="shared" si="6"/>
        <v>#REF!</v>
      </c>
      <c r="J44" s="260" t="str">
        <f t="shared" si="7"/>
        <v>#REF!</v>
      </c>
      <c r="K44" s="264"/>
      <c r="L44" s="265" t="s">
        <v>35</v>
      </c>
      <c r="M44" s="266"/>
      <c r="N44" s="266"/>
      <c r="O44" s="266" t="e">
        <v>#N/A</v>
      </c>
      <c r="P44" s="266"/>
      <c r="Q44" s="266"/>
      <c r="R44" s="338" t="s">
        <v>1423</v>
      </c>
      <c r="S44" s="382"/>
      <c r="T44" s="382"/>
    </row>
    <row r="45" hidden="1">
      <c r="A45" s="258">
        <v>1366.0</v>
      </c>
      <c r="B45" s="258">
        <v>1366.0</v>
      </c>
      <c r="C45" s="260">
        <v>221.0</v>
      </c>
      <c r="D45" s="260">
        <f>IFERROR(__xludf.DUMMYFUNCTION("if(B45&lt;=999,if(B45&lt;=99,IF(B45&lt;=9,join(,""000"",B45),join(,""00"",B45)),join(,""0"",B45)),B45)"),1366.0)</f>
        <v>1366</v>
      </c>
      <c r="E45" s="270" t="s">
        <v>1078</v>
      </c>
      <c r="F45" s="263"/>
      <c r="G45" s="263" t="str">
        <f>vlookup(B45,'Geotagging Master All-Training '!$A$2:$C$2474,3,false)</f>
        <v>#N/A</v>
      </c>
      <c r="H45" s="260" t="s">
        <v>20</v>
      </c>
      <c r="I45" s="260" t="str">
        <f t="shared" si="6"/>
        <v>#REF!</v>
      </c>
      <c r="J45" s="260" t="str">
        <f t="shared" si="7"/>
        <v>#REF!</v>
      </c>
      <c r="K45" s="264" t="s">
        <v>77</v>
      </c>
      <c r="L45" s="265" t="s">
        <v>35</v>
      </c>
      <c r="M45" s="266"/>
      <c r="N45" s="266" t="s">
        <v>1434</v>
      </c>
      <c r="O45" s="266" t="s">
        <v>550</v>
      </c>
      <c r="P45" s="266" t="s">
        <v>25</v>
      </c>
      <c r="Q45" s="266" t="s">
        <v>55</v>
      </c>
      <c r="R45" s="338" t="s">
        <v>1435</v>
      </c>
      <c r="S45" s="382"/>
      <c r="T45" s="382"/>
    </row>
    <row r="46" hidden="1">
      <c r="A46" s="258">
        <v>1129.0</v>
      </c>
      <c r="B46" s="258">
        <v>1129.0</v>
      </c>
      <c r="C46" s="260">
        <v>256.0</v>
      </c>
      <c r="D46" s="260">
        <f>IFERROR(__xludf.DUMMYFUNCTION("if(B46&lt;=999,if(B46&lt;=99,IF(B46&lt;=9,join(,""000"",B46),join(,""00"",B46)),join(,""0"",B46)),B46)"),1129.0)</f>
        <v>1129</v>
      </c>
      <c r="E46" s="270" t="s">
        <v>643</v>
      </c>
      <c r="F46" s="263"/>
      <c r="G46" s="263" t="str">
        <f>vlookup(B46,'Geotagging Master All-Training '!$A$2:$C$2474,3,false)</f>
        <v>#N/A</v>
      </c>
      <c r="H46" s="260" t="s">
        <v>35</v>
      </c>
      <c r="I46" s="260" t="str">
        <f t="shared" si="6"/>
        <v>#REF!</v>
      </c>
      <c r="J46" s="260" t="str">
        <f t="shared" si="7"/>
        <v>#REF!</v>
      </c>
      <c r="K46" s="264"/>
      <c r="L46" s="265" t="s">
        <v>35</v>
      </c>
      <c r="M46" s="266"/>
      <c r="N46" s="266"/>
      <c r="O46" s="266" t="e">
        <v>#N/A</v>
      </c>
      <c r="P46" s="266"/>
      <c r="Q46" s="266"/>
      <c r="R46" s="338" t="s">
        <v>1423</v>
      </c>
      <c r="S46" s="382"/>
      <c r="T46" s="382"/>
    </row>
    <row r="47" hidden="1">
      <c r="A47" s="258">
        <v>1017.0</v>
      </c>
      <c r="B47" s="258">
        <v>1017.0</v>
      </c>
      <c r="C47" s="260">
        <v>261.0</v>
      </c>
      <c r="D47" s="260">
        <f>IFERROR(__xludf.DUMMYFUNCTION("if(B47&lt;=999,if(B47&lt;=99,IF(B47&lt;=9,join(,""000"",B47),join(,""00"",B47)),join(,""0"",B47)),B47)"),1017.0)</f>
        <v>1017</v>
      </c>
      <c r="E47" s="270" t="s">
        <v>1080</v>
      </c>
      <c r="F47" s="263"/>
      <c r="G47" s="263" t="str">
        <f>vlookup(B47,'Geotagging Master All-Training '!$A$2:$C$2474,3,false)</f>
        <v>#N/A</v>
      </c>
      <c r="H47" s="260" t="s">
        <v>20</v>
      </c>
      <c r="I47" s="260" t="str">
        <f t="shared" si="6"/>
        <v>#REF!</v>
      </c>
      <c r="J47" s="260" t="str">
        <f t="shared" si="7"/>
        <v>#REF!</v>
      </c>
      <c r="K47" s="264" t="s">
        <v>22</v>
      </c>
      <c r="L47" s="265" t="s">
        <v>35</v>
      </c>
      <c r="M47" s="266"/>
      <c r="N47" s="266" t="s">
        <v>1436</v>
      </c>
      <c r="O47" s="266" t="s">
        <v>244</v>
      </c>
      <c r="P47" s="266"/>
      <c r="Q47" s="266"/>
      <c r="R47" s="338" t="s">
        <v>43</v>
      </c>
      <c r="S47" s="382"/>
      <c r="T47" s="382"/>
    </row>
    <row r="48" hidden="1">
      <c r="A48" s="258">
        <v>6.0</v>
      </c>
      <c r="B48" s="258">
        <v>6.0</v>
      </c>
      <c r="C48" s="260">
        <v>279.0</v>
      </c>
      <c r="D48" s="260" t="str">
        <f>IFERROR(__xludf.DUMMYFUNCTION("if(B48&lt;=999,if(B48&lt;=99,IF(B48&lt;=9,join(,""000"",B48),join(,""00"",B48)),join(,""0"",B48)),B48)"),"0006")</f>
        <v>0006</v>
      </c>
      <c r="E48" s="270" t="s">
        <v>690</v>
      </c>
      <c r="F48" s="263"/>
      <c r="G48" s="263" t="str">
        <f>vlookup(B48,'Geotagging Master All-Training '!$A$2:$C$2474,3,false)</f>
        <v>#N/A</v>
      </c>
      <c r="H48" s="260" t="s">
        <v>20</v>
      </c>
      <c r="I48" s="260" t="str">
        <f t="shared" si="6"/>
        <v>#REF!</v>
      </c>
      <c r="J48" s="260" t="str">
        <f t="shared" si="7"/>
        <v>#REF!</v>
      </c>
      <c r="K48" s="264"/>
      <c r="L48" s="265" t="s">
        <v>35</v>
      </c>
      <c r="M48" s="266"/>
      <c r="N48" s="266"/>
      <c r="O48" s="266">
        <v>80.0</v>
      </c>
      <c r="P48" s="266"/>
      <c r="Q48" s="266"/>
      <c r="R48" s="277"/>
      <c r="S48" s="381"/>
      <c r="T48" s="381"/>
    </row>
    <row r="49" hidden="1">
      <c r="A49" s="258">
        <v>1195.0</v>
      </c>
      <c r="B49" s="259">
        <v>1195.0</v>
      </c>
      <c r="C49" s="260">
        <v>290.0</v>
      </c>
      <c r="D49" s="261">
        <f>IFERROR(__xludf.DUMMYFUNCTION("if(B49&lt;=999,if(B49&lt;=99,IF(B49&lt;=9,join(,""000"",B49),join(,""00"",B49)),join(,""0"",B49)),B49)"),1195.0)</f>
        <v>1195</v>
      </c>
      <c r="E49" s="385" t="s">
        <v>1169</v>
      </c>
      <c r="F49" s="263"/>
      <c r="G49" s="263" t="str">
        <f>vlookup(B49,'Geotagging Master All-Training '!$A$2:$C$2474,3,false)</f>
        <v>#N/A</v>
      </c>
      <c r="H49" s="261" t="s">
        <v>20</v>
      </c>
      <c r="I49" s="261" t="str">
        <f t="shared" si="6"/>
        <v>#REF!</v>
      </c>
      <c r="J49" s="386" t="str">
        <f t="shared" si="7"/>
        <v>#REF!</v>
      </c>
      <c r="K49" s="387" t="s">
        <v>77</v>
      </c>
      <c r="L49" s="265" t="s">
        <v>35</v>
      </c>
      <c r="M49" s="388"/>
      <c r="N49" s="388"/>
      <c r="O49" s="388" t="s">
        <v>453</v>
      </c>
      <c r="P49" s="388"/>
      <c r="Q49" s="388"/>
      <c r="R49" s="338" t="s">
        <v>43</v>
      </c>
      <c r="S49" s="382"/>
      <c r="T49" s="382"/>
    </row>
    <row r="50" hidden="1">
      <c r="A50" s="258">
        <v>821.0</v>
      </c>
      <c r="B50" s="258">
        <v>821.0</v>
      </c>
      <c r="C50" s="260">
        <v>297.0</v>
      </c>
      <c r="D50" s="260" t="str">
        <f>IFERROR(__xludf.DUMMYFUNCTION("if(B50&lt;=999,if(B50&lt;=99,IF(B50&lt;=9,join(,""000"",B50),join(,""00"",B50)),join(,""0"",B50)),B50)"),"0821")</f>
        <v>0821</v>
      </c>
      <c r="E50" s="270" t="s">
        <v>732</v>
      </c>
      <c r="F50" s="263"/>
      <c r="G50" s="263" t="str">
        <f>vlookup(B50,'Geotagging Master All-Training '!$A$2:$C$2474,3,false)</f>
        <v>#N/A</v>
      </c>
      <c r="H50" s="260" t="s">
        <v>35</v>
      </c>
      <c r="I50" s="260" t="str">
        <f t="shared" si="6"/>
        <v>#REF!</v>
      </c>
      <c r="J50" s="260" t="str">
        <f t="shared" si="7"/>
        <v>#REF!</v>
      </c>
      <c r="K50" s="264"/>
      <c r="L50" s="265" t="s">
        <v>35</v>
      </c>
      <c r="M50" s="266"/>
      <c r="N50" s="266"/>
      <c r="O50" s="266" t="e">
        <v>#N/A</v>
      </c>
      <c r="P50" s="266"/>
      <c r="Q50" s="266"/>
      <c r="R50" s="338" t="s">
        <v>1423</v>
      </c>
      <c r="S50" s="382"/>
      <c r="T50" s="382"/>
    </row>
    <row r="51" hidden="1">
      <c r="A51" s="258">
        <v>797.0</v>
      </c>
      <c r="B51" s="259">
        <v>797.0</v>
      </c>
      <c r="C51" s="260">
        <v>309.0</v>
      </c>
      <c r="D51" s="260" t="str">
        <f>IFERROR(__xludf.DUMMYFUNCTION("if(B51&lt;=999,if(B51&lt;=99,IF(B51&lt;=9,join(,""000"",B51),join(,""00"",B51)),join(,""0"",B51)),B51)"),"0797")</f>
        <v>0797</v>
      </c>
      <c r="E51" s="270" t="s">
        <v>1181</v>
      </c>
      <c r="F51" s="263"/>
      <c r="G51" s="263" t="str">
        <f>vlookup(B51,'Geotagging Master All-Training '!$A$2:$C$2474,3,false)</f>
        <v>#N/A</v>
      </c>
      <c r="H51" s="260" t="s">
        <v>20</v>
      </c>
      <c r="I51" s="260" t="s">
        <v>1437</v>
      </c>
      <c r="J51" s="260">
        <v>7.983106328E9</v>
      </c>
      <c r="K51" s="264" t="s">
        <v>34</v>
      </c>
      <c r="L51" s="265" t="s">
        <v>35</v>
      </c>
      <c r="M51" s="266"/>
      <c r="N51" s="266" t="s">
        <v>1438</v>
      </c>
      <c r="O51" s="266" t="e">
        <v>#N/A</v>
      </c>
      <c r="P51" s="266"/>
      <c r="Q51" s="266"/>
      <c r="R51" s="338" t="s">
        <v>43</v>
      </c>
      <c r="S51" s="382"/>
      <c r="T51" s="382"/>
    </row>
    <row r="52" hidden="1">
      <c r="A52" s="258">
        <v>69.0</v>
      </c>
      <c r="B52" s="259">
        <v>69.0</v>
      </c>
      <c r="C52" s="260">
        <v>316.0</v>
      </c>
      <c r="D52" s="260" t="str">
        <f>IFERROR(__xludf.DUMMYFUNCTION("if(B52&lt;=999,if(B52&lt;=99,IF(B52&lt;=9,join(,""000"",B52),join(,""00"",B52)),join(,""0"",B52)),B52)"),"0069")</f>
        <v>0069</v>
      </c>
      <c r="E52" s="270" t="s">
        <v>1182</v>
      </c>
      <c r="F52" s="263"/>
      <c r="G52" s="263" t="str">
        <f>vlookup(B52,'Geotagging Master All-Training '!$A$2:$C$2474,3,false)</f>
        <v>#N/A</v>
      </c>
      <c r="H52" s="260" t="s">
        <v>20</v>
      </c>
      <c r="I52" s="260" t="str">
        <f t="shared" ref="I52:I53" si="8">VLOOKUP(D52,'Copy of Form Responses; CCTV Infra 1'!$G$2:$I$675,2,false)</f>
        <v>#REF!</v>
      </c>
      <c r="J52" s="260" t="str">
        <f t="shared" ref="J52:J53" si="9">VLOOKUP(D52,'Copy of Form Responses; CCTV Infra 1'!$G$2:$I$675,3,false)</f>
        <v>#REF!</v>
      </c>
      <c r="K52" s="264" t="s">
        <v>22</v>
      </c>
      <c r="L52" s="265" t="s">
        <v>35</v>
      </c>
      <c r="M52" s="266"/>
      <c r="N52" s="266"/>
      <c r="O52" s="266">
        <v>80.0</v>
      </c>
      <c r="P52" s="266"/>
      <c r="Q52" s="266"/>
      <c r="R52" s="338" t="s">
        <v>43</v>
      </c>
      <c r="S52" s="382"/>
      <c r="T52" s="382"/>
    </row>
    <row r="53" hidden="1">
      <c r="A53" s="258">
        <v>512.0</v>
      </c>
      <c r="B53" s="259">
        <v>512.0</v>
      </c>
      <c r="C53" s="260">
        <v>320.0</v>
      </c>
      <c r="D53" s="260" t="str">
        <f>IFERROR(__xludf.DUMMYFUNCTION("if(B53&lt;=999,if(B53&lt;=99,IF(B53&lt;=9,join(,""000"",B53),join(,""00"",B53)),join(,""0"",B53)),B53)"),"0512")</f>
        <v>0512</v>
      </c>
      <c r="E53" s="270" t="s">
        <v>787</v>
      </c>
      <c r="F53" s="263"/>
      <c r="G53" s="263" t="str">
        <f>vlookup(B53,'Geotagging Master All-Training '!$A$2:$C$2474,3,false)</f>
        <v>#N/A</v>
      </c>
      <c r="H53" s="260" t="s">
        <v>35</v>
      </c>
      <c r="I53" s="260" t="str">
        <f t="shared" si="8"/>
        <v>#REF!</v>
      </c>
      <c r="J53" s="260" t="str">
        <f t="shared" si="9"/>
        <v>#REF!</v>
      </c>
      <c r="K53" s="264"/>
      <c r="L53" s="265" t="s">
        <v>35</v>
      </c>
      <c r="M53" s="266"/>
      <c r="N53" s="266"/>
      <c r="O53" s="266" t="e">
        <v>#N/A</v>
      </c>
      <c r="P53" s="266"/>
      <c r="Q53" s="266"/>
      <c r="R53" s="338" t="s">
        <v>1423</v>
      </c>
      <c r="S53" s="382"/>
      <c r="T53" s="382"/>
    </row>
    <row r="54" hidden="1">
      <c r="A54" s="258">
        <v>231.0</v>
      </c>
      <c r="B54" s="258">
        <v>231.0</v>
      </c>
      <c r="C54" s="260">
        <v>322.0</v>
      </c>
      <c r="D54" s="260" t="str">
        <f>IFERROR(__xludf.DUMMYFUNCTION("if(B54&lt;=999,if(B54&lt;=99,IF(B54&lt;=9,join(,""000"",B54),join(,""00"",B54)),join(,""0"",B54)),B54)"),"0231")</f>
        <v>0231</v>
      </c>
      <c r="E54" s="270" t="s">
        <v>1289</v>
      </c>
      <c r="F54" s="263"/>
      <c r="G54" s="263" t="str">
        <f>vlookup(B54,'Geotagging Master All-Training '!$A$2:$C$2474,3,false)</f>
        <v>#N/A</v>
      </c>
      <c r="H54" s="260" t="s">
        <v>20</v>
      </c>
      <c r="I54" s="260" t="s">
        <v>1439</v>
      </c>
      <c r="J54" s="260">
        <v>9.198331523E9</v>
      </c>
      <c r="K54" s="264" t="s">
        <v>101</v>
      </c>
      <c r="L54" s="265" t="s">
        <v>35</v>
      </c>
      <c r="M54" s="266"/>
      <c r="N54" s="266"/>
      <c r="O54" s="266" t="e">
        <v>#N/A</v>
      </c>
      <c r="P54" s="266"/>
      <c r="Q54" s="266"/>
      <c r="R54" s="338" t="s">
        <v>43</v>
      </c>
      <c r="S54" s="382"/>
      <c r="T54" s="382"/>
    </row>
    <row r="55" hidden="1">
      <c r="A55" s="258">
        <v>1367.0</v>
      </c>
      <c r="B55" s="258">
        <v>1367.0</v>
      </c>
      <c r="C55" s="260">
        <v>325.0</v>
      </c>
      <c r="D55" s="260">
        <f>IFERROR(__xludf.DUMMYFUNCTION("if(B55&lt;=999,if(B55&lt;=99,IF(B55&lt;=9,join(,""000"",B55),join(,""00"",B55)),join(,""0"",B55)),B55)"),1367.0)</f>
        <v>1367</v>
      </c>
      <c r="E55" s="270" t="s">
        <v>652</v>
      </c>
      <c r="F55" s="263"/>
      <c r="G55" s="263" t="str">
        <f>vlookup(B55,'Geotagging Master All-Training '!$A$2:$C$2474,3,false)</f>
        <v>#N/A</v>
      </c>
      <c r="H55" s="260" t="s">
        <v>20</v>
      </c>
      <c r="I55" s="260" t="str">
        <f>VLOOKUP(D55,'Copy of Form Responses; CCTV Infra 1'!$G$2:$I$675,2,false)</f>
        <v>#REF!</v>
      </c>
      <c r="J55" s="260" t="str">
        <f>VLOOKUP(D55,'Copy of Form Responses; CCTV Infra 1'!$G$2:$I$675,3,false)</f>
        <v>#REF!</v>
      </c>
      <c r="K55" s="264" t="s">
        <v>22</v>
      </c>
      <c r="L55" s="265" t="s">
        <v>35</v>
      </c>
      <c r="M55" s="266" t="s">
        <v>1440</v>
      </c>
      <c r="N55" s="389" t="s">
        <v>1441</v>
      </c>
      <c r="O55" s="266">
        <v>32.0</v>
      </c>
      <c r="P55" s="266" t="s">
        <v>25</v>
      </c>
      <c r="Q55" s="266" t="s">
        <v>1442</v>
      </c>
      <c r="R55" s="338" t="s">
        <v>1443</v>
      </c>
      <c r="S55" s="382"/>
      <c r="T55" s="382"/>
    </row>
    <row r="56" hidden="1">
      <c r="A56" s="258">
        <v>798.0</v>
      </c>
      <c r="B56" s="258">
        <v>798.0</v>
      </c>
      <c r="C56" s="260">
        <v>326.0</v>
      </c>
      <c r="D56" s="260" t="str">
        <f>IFERROR(__xludf.DUMMYFUNCTION("if(B56&lt;=999,if(B56&lt;=99,IF(B56&lt;=9,join(,""000"",B56),join(,""00"",B56)),join(,""0"",B56)),B56)"),"0798")</f>
        <v>0798</v>
      </c>
      <c r="E56" s="270" t="s">
        <v>804</v>
      </c>
      <c r="F56" s="263"/>
      <c r="G56" s="263" t="str">
        <f>vlookup(B56,'Geotagging Master All-Training '!$A$2:$C$2474,3,false)</f>
        <v>#N/A</v>
      </c>
      <c r="H56" s="260" t="s">
        <v>20</v>
      </c>
      <c r="I56" s="390" t="s">
        <v>805</v>
      </c>
      <c r="J56" s="391">
        <v>8.95305608E9</v>
      </c>
      <c r="K56" s="264"/>
      <c r="L56" s="265" t="s">
        <v>35</v>
      </c>
      <c r="M56" s="266" t="s">
        <v>381</v>
      </c>
      <c r="N56" s="266"/>
      <c r="O56" s="266"/>
      <c r="P56" s="266"/>
      <c r="Q56" s="266"/>
      <c r="R56" s="338" t="s">
        <v>806</v>
      </c>
      <c r="S56" s="382"/>
      <c r="T56" s="382"/>
    </row>
    <row r="57" hidden="1">
      <c r="A57" s="258">
        <v>1025.0</v>
      </c>
      <c r="B57" s="259">
        <v>1025.0</v>
      </c>
      <c r="C57" s="260">
        <v>337.0</v>
      </c>
      <c r="D57" s="260">
        <f>IFERROR(__xludf.DUMMYFUNCTION("if(B57&lt;=999,if(B57&lt;=99,IF(B57&lt;=9,join(,""000"",B57),join(,""00"",B57)),join(,""0"",B57)),B57)"),1025.0)</f>
        <v>1025</v>
      </c>
      <c r="E57" s="270" t="s">
        <v>209</v>
      </c>
      <c r="F57" s="263"/>
      <c r="G57" s="263" t="str">
        <f>vlookup(B57,'Geotagging Master All-Training '!$A$2:$C$2474,3,false)</f>
        <v>#N/A</v>
      </c>
      <c r="H57" s="260" t="s">
        <v>20</v>
      </c>
      <c r="I57" s="260" t="s">
        <v>1444</v>
      </c>
      <c r="J57" s="260" t="s">
        <v>1445</v>
      </c>
      <c r="K57" s="264" t="s">
        <v>22</v>
      </c>
      <c r="L57" s="265" t="s">
        <v>35</v>
      </c>
      <c r="M57" s="266"/>
      <c r="N57" s="392" t="s">
        <v>1446</v>
      </c>
      <c r="O57" s="266">
        <v>18.0</v>
      </c>
      <c r="P57" s="277" t="s">
        <v>25</v>
      </c>
      <c r="Q57" s="277" t="s">
        <v>55</v>
      </c>
      <c r="R57" s="338" t="s">
        <v>1447</v>
      </c>
      <c r="S57" s="382"/>
      <c r="T57" s="382"/>
    </row>
    <row r="58" hidden="1">
      <c r="A58" s="258">
        <v>538.0</v>
      </c>
      <c r="B58" s="258">
        <v>538.0</v>
      </c>
      <c r="C58" s="260">
        <v>338.0</v>
      </c>
      <c r="D58" s="260" t="str">
        <f>IFERROR(__xludf.DUMMYFUNCTION("if(B58&lt;=999,if(B58&lt;=99,IF(B58&lt;=9,join(,""000"",B58),join(,""00"",B58)),join(,""0"",B58)),B58)"),"0538")</f>
        <v>0538</v>
      </c>
      <c r="E58" s="270" t="s">
        <v>323</v>
      </c>
      <c r="F58" s="263"/>
      <c r="G58" s="263" t="str">
        <f>vlookup(B58,'Geotagging Master All-Training '!$A$2:$C$2474,3,false)</f>
        <v>#N/A</v>
      </c>
      <c r="H58" s="260" t="s">
        <v>20</v>
      </c>
      <c r="I58" s="260" t="s">
        <v>1372</v>
      </c>
      <c r="J58" s="260">
        <v>9.758307198E9</v>
      </c>
      <c r="K58" s="264" t="s">
        <v>22</v>
      </c>
      <c r="L58" s="265" t="s">
        <v>35</v>
      </c>
      <c r="M58" s="266" t="s">
        <v>95</v>
      </c>
      <c r="N58" s="266"/>
      <c r="O58" s="266" t="e">
        <v>#N/A</v>
      </c>
      <c r="P58" s="266"/>
      <c r="Q58" s="266"/>
      <c r="R58" s="338" t="s">
        <v>1448</v>
      </c>
      <c r="S58" s="382"/>
      <c r="T58" s="382"/>
    </row>
    <row r="59" hidden="1">
      <c r="A59" s="258">
        <v>80.0</v>
      </c>
      <c r="B59" s="258">
        <v>80.0</v>
      </c>
      <c r="C59" s="260">
        <v>339.0</v>
      </c>
      <c r="D59" s="260" t="str">
        <f>IFERROR(__xludf.DUMMYFUNCTION("if(B59&lt;=999,if(B59&lt;=99,IF(B59&lt;=9,join(,""000"",B59),join(,""00"",B59)),join(,""0"",B59)),B59)"),"0080")</f>
        <v>0080</v>
      </c>
      <c r="E59" s="270" t="s">
        <v>832</v>
      </c>
      <c r="F59" s="263"/>
      <c r="G59" s="263" t="str">
        <f>vlookup(B59,'Geotagging Master All-Training '!$A$2:$C$2474,3,false)</f>
        <v>#N/A</v>
      </c>
      <c r="H59" s="260" t="s">
        <v>35</v>
      </c>
      <c r="I59" s="260" t="str">
        <f t="shared" ref="I59:I60" si="10">VLOOKUP(D59,'Copy of Form Responses; CCTV Infra 1'!$G$2:$I$675,2,false)</f>
        <v>#REF!</v>
      </c>
      <c r="J59" s="260" t="str">
        <f t="shared" ref="J59:J60" si="11">VLOOKUP(D59,'Copy of Form Responses; CCTV Infra 1'!$G$2:$I$675,3,false)</f>
        <v>#REF!</v>
      </c>
      <c r="K59" s="264"/>
      <c r="L59" s="265" t="s">
        <v>35</v>
      </c>
      <c r="M59" s="266"/>
      <c r="N59" s="266"/>
      <c r="O59" s="266" t="e">
        <v>#N/A</v>
      </c>
      <c r="P59" s="266"/>
      <c r="Q59" s="266"/>
      <c r="R59" s="338" t="s">
        <v>1449</v>
      </c>
      <c r="S59" s="382"/>
      <c r="T59" s="382"/>
    </row>
    <row r="60" hidden="1">
      <c r="A60" s="258">
        <v>1108.0</v>
      </c>
      <c r="B60" s="258">
        <v>1108.0</v>
      </c>
      <c r="C60" s="260">
        <v>340.0</v>
      </c>
      <c r="D60" s="260">
        <f>IFERROR(__xludf.DUMMYFUNCTION("if(B60&lt;=999,if(B60&lt;=99,IF(B60&lt;=9,join(,""000"",B60),join(,""00"",B60)),join(,""0"",B60)),B60)"),1108.0)</f>
        <v>1108</v>
      </c>
      <c r="E60" s="270" t="s">
        <v>833</v>
      </c>
      <c r="F60" s="263"/>
      <c r="G60" s="263" t="str">
        <f>vlookup(B60,'Geotagging Master All-Training '!$A$2:$C$2474,3,false)</f>
        <v>#N/A</v>
      </c>
      <c r="H60" s="260" t="s">
        <v>35</v>
      </c>
      <c r="I60" s="260" t="str">
        <f t="shared" si="10"/>
        <v>#REF!</v>
      </c>
      <c r="J60" s="260" t="str">
        <f t="shared" si="11"/>
        <v>#REF!</v>
      </c>
      <c r="K60" s="264"/>
      <c r="L60" s="265" t="s">
        <v>35</v>
      </c>
      <c r="M60" s="266"/>
      <c r="N60" s="266"/>
      <c r="O60" s="266" t="e">
        <v>#N/A</v>
      </c>
      <c r="P60" s="266"/>
      <c r="Q60" s="266"/>
      <c r="R60" s="338" t="s">
        <v>1449</v>
      </c>
      <c r="S60" s="382"/>
      <c r="T60" s="382"/>
    </row>
    <row r="61" hidden="1">
      <c r="A61" s="258">
        <v>112.0</v>
      </c>
      <c r="B61" s="259">
        <v>112.0</v>
      </c>
      <c r="C61" s="260">
        <v>346.0</v>
      </c>
      <c r="D61" s="260" t="str">
        <f>IFERROR(__xludf.DUMMYFUNCTION("if(B61&lt;=999,if(B61&lt;=99,IF(B61&lt;=9,join(,""000"",B61),join(,""00"",B61)),join(,""0"",B61)),B61)"),"0112")</f>
        <v>0112</v>
      </c>
      <c r="E61" s="270" t="s">
        <v>846</v>
      </c>
      <c r="F61" s="263"/>
      <c r="G61" s="263" t="str">
        <f>vlookup(B61,'Geotagging Master All-Training '!$A$2:$C$2474,3,false)</f>
        <v>#N/A</v>
      </c>
      <c r="H61" s="260" t="s">
        <v>35</v>
      </c>
      <c r="I61" s="260" t="s">
        <v>1450</v>
      </c>
      <c r="J61" s="260" t="str">
        <f>VLOOKUP(D3549616404141,'Copy of Form Responses; CCTV Infra 1'!$G$2:$I$675,3,false)</f>
        <v>#ERROR!</v>
      </c>
      <c r="K61" s="264"/>
      <c r="L61" s="265" t="s">
        <v>35</v>
      </c>
      <c r="M61" s="266" t="s">
        <v>1451</v>
      </c>
      <c r="N61" s="266" t="s">
        <v>1452</v>
      </c>
      <c r="O61" s="266" t="e">
        <v>#N/A</v>
      </c>
      <c r="P61" s="266" t="s">
        <v>25</v>
      </c>
      <c r="Q61" s="266" t="s">
        <v>1453</v>
      </c>
      <c r="R61" s="338" t="s">
        <v>1454</v>
      </c>
      <c r="S61" s="382"/>
      <c r="T61" s="382"/>
    </row>
    <row r="62" hidden="1">
      <c r="A62" s="258">
        <v>832.0</v>
      </c>
      <c r="B62" s="259">
        <v>832.0</v>
      </c>
      <c r="C62" s="260">
        <v>347.0</v>
      </c>
      <c r="D62" s="260" t="str">
        <f>IFERROR(__xludf.DUMMYFUNCTION("if(B62&lt;=999,if(B62&lt;=99,IF(B62&lt;=9,join(,""000"",B62),join(,""00"",B62)),join(,""0"",B62)),B62)"),"0832")</f>
        <v>0832</v>
      </c>
      <c r="E62" s="270" t="s">
        <v>847</v>
      </c>
      <c r="F62" s="263"/>
      <c r="G62" s="263" t="str">
        <f>vlookup(B62,'Geotagging Master All-Training '!$A$2:$C$2474,3,false)</f>
        <v>#N/A</v>
      </c>
      <c r="H62" s="260" t="s">
        <v>35</v>
      </c>
      <c r="I62" s="260" t="str">
        <f t="shared" ref="I62:I66" si="12">VLOOKUP(D62,'Copy of Form Responses; CCTV Infra 1'!$G$2:$I$675,2,false)</f>
        <v>#REF!</v>
      </c>
      <c r="J62" s="260" t="str">
        <f t="shared" ref="J62:J66" si="13">VLOOKUP(D62,'Copy of Form Responses; CCTV Infra 1'!$G$2:$I$675,3,false)</f>
        <v>#REF!</v>
      </c>
      <c r="K62" s="264"/>
      <c r="L62" s="265" t="s">
        <v>35</v>
      </c>
      <c r="M62" s="266"/>
      <c r="N62" s="266"/>
      <c r="O62" s="266" t="e">
        <v>#N/A</v>
      </c>
      <c r="P62" s="266"/>
      <c r="Q62" s="266"/>
      <c r="R62" s="338" t="s">
        <v>1423</v>
      </c>
      <c r="S62" s="382"/>
      <c r="T62" s="382"/>
    </row>
    <row r="63" hidden="1">
      <c r="A63" s="258">
        <v>740.0</v>
      </c>
      <c r="B63" s="259">
        <v>740.0</v>
      </c>
      <c r="C63" s="260">
        <v>348.0</v>
      </c>
      <c r="D63" s="260" t="str">
        <f>IFERROR(__xludf.DUMMYFUNCTION("if(B63&lt;=999,if(B63&lt;=99,IF(B63&lt;=9,join(,""000"",B63),join(,""00"",B63)),join(,""0"",B63)),B63)"),"0740")</f>
        <v>0740</v>
      </c>
      <c r="E63" s="270" t="s">
        <v>848</v>
      </c>
      <c r="F63" s="263"/>
      <c r="G63" s="263" t="str">
        <f>vlookup(B63,'Geotagging Master All-Training '!$A$2:$C$2474,3,false)</f>
        <v>#N/A</v>
      </c>
      <c r="H63" s="260" t="s">
        <v>35</v>
      </c>
      <c r="I63" s="260" t="str">
        <f t="shared" si="12"/>
        <v>#REF!</v>
      </c>
      <c r="J63" s="260" t="str">
        <f t="shared" si="13"/>
        <v>#REF!</v>
      </c>
      <c r="K63" s="264"/>
      <c r="L63" s="265" t="s">
        <v>35</v>
      </c>
      <c r="M63" s="266"/>
      <c r="N63" s="266"/>
      <c r="O63" s="266" t="e">
        <v>#N/A</v>
      </c>
      <c r="P63" s="266"/>
      <c r="Q63" s="266"/>
      <c r="R63" s="338" t="s">
        <v>1423</v>
      </c>
      <c r="S63" s="382"/>
      <c r="T63" s="382"/>
    </row>
    <row r="64" hidden="1">
      <c r="A64" s="258">
        <v>358.0</v>
      </c>
      <c r="B64" s="258">
        <v>358.0</v>
      </c>
      <c r="C64" s="260">
        <v>356.0</v>
      </c>
      <c r="D64" s="260" t="str">
        <f>IFERROR(__xludf.DUMMYFUNCTION("if(B64&lt;=999,if(B64&lt;=99,IF(B64&lt;=9,join(,""000"",B64),join(,""00"",B64)),join(,""0"",B64)),B64)"),"0358")</f>
        <v>0358</v>
      </c>
      <c r="E64" s="270" t="s">
        <v>860</v>
      </c>
      <c r="F64" s="263"/>
      <c r="G64" s="263" t="str">
        <f>vlookup(B64,'Geotagging Master All-Training '!$A$2:$C$2474,3,false)</f>
        <v>#N/A</v>
      </c>
      <c r="H64" s="260" t="s">
        <v>35</v>
      </c>
      <c r="I64" s="260" t="str">
        <f t="shared" si="12"/>
        <v>#REF!</v>
      </c>
      <c r="J64" s="260" t="str">
        <f t="shared" si="13"/>
        <v>#REF!</v>
      </c>
      <c r="K64" s="264"/>
      <c r="L64" s="265" t="s">
        <v>35</v>
      </c>
      <c r="M64" s="266"/>
      <c r="N64" s="266"/>
      <c r="O64" s="266" t="e">
        <v>#N/A</v>
      </c>
      <c r="P64" s="266"/>
      <c r="Q64" s="266"/>
      <c r="R64" s="338" t="s">
        <v>1423</v>
      </c>
      <c r="S64" s="382"/>
      <c r="T64" s="382"/>
    </row>
    <row r="65" hidden="1">
      <c r="A65" s="258">
        <v>1363.0</v>
      </c>
      <c r="B65" s="258">
        <v>1363.0</v>
      </c>
      <c r="C65" s="260">
        <v>368.0</v>
      </c>
      <c r="D65" s="260">
        <f>IFERROR(__xludf.DUMMYFUNCTION("if(B65&lt;=999,if(B65&lt;=99,IF(B65&lt;=9,join(,""000"",B65),join(,""00"",B65)),join(,""0"",B65)),B65)"),1363.0)</f>
        <v>1363</v>
      </c>
      <c r="E65" s="270" t="s">
        <v>885</v>
      </c>
      <c r="F65" s="263"/>
      <c r="G65" s="263" t="str">
        <f>vlookup(B65,'Geotagging Master All-Training '!$A$2:$C$2474,3,false)</f>
        <v>#N/A</v>
      </c>
      <c r="H65" s="260" t="s">
        <v>35</v>
      </c>
      <c r="I65" s="260" t="str">
        <f t="shared" si="12"/>
        <v>#REF!</v>
      </c>
      <c r="J65" s="260" t="str">
        <f t="shared" si="13"/>
        <v>#REF!</v>
      </c>
      <c r="K65" s="264"/>
      <c r="L65" s="265" t="s">
        <v>35</v>
      </c>
      <c r="M65" s="266"/>
      <c r="N65" s="266"/>
      <c r="O65" s="266" t="e">
        <v>#N/A</v>
      </c>
      <c r="P65" s="266"/>
      <c r="Q65" s="266"/>
      <c r="R65" s="338" t="s">
        <v>1423</v>
      </c>
      <c r="S65" s="382"/>
      <c r="T65" s="382"/>
    </row>
    <row r="66" hidden="1">
      <c r="A66" s="258">
        <v>1266.0</v>
      </c>
      <c r="B66" s="259">
        <v>1266.0</v>
      </c>
      <c r="C66" s="260">
        <v>382.0</v>
      </c>
      <c r="D66" s="260">
        <f>IFERROR(__xludf.DUMMYFUNCTION("if(B66&lt;=999,if(B66&lt;=99,IF(B66&lt;=9,join(,""000"",B66),join(,""00"",B66)),join(,""0"",B66)),B66)"),1266.0)</f>
        <v>1266</v>
      </c>
      <c r="E66" s="270" t="s">
        <v>919</v>
      </c>
      <c r="F66" s="263"/>
      <c r="G66" s="263" t="str">
        <f>vlookup(B66,'Geotagging Master All-Training '!$A$2:$C$2474,3,false)</f>
        <v>#N/A</v>
      </c>
      <c r="H66" s="260" t="s">
        <v>35</v>
      </c>
      <c r="I66" s="260" t="str">
        <f t="shared" si="12"/>
        <v>#REF!</v>
      </c>
      <c r="J66" s="260" t="str">
        <f t="shared" si="13"/>
        <v>#REF!</v>
      </c>
      <c r="K66" s="264"/>
      <c r="L66" s="265" t="s">
        <v>35</v>
      </c>
      <c r="M66" s="266"/>
      <c r="N66" s="266"/>
      <c r="O66" s="266" t="e">
        <v>#N/A</v>
      </c>
      <c r="P66" s="266"/>
      <c r="Q66" s="266"/>
      <c r="R66" s="338" t="s">
        <v>1423</v>
      </c>
      <c r="S66" s="382"/>
      <c r="T66" s="382"/>
    </row>
    <row r="67" hidden="1">
      <c r="A67" s="258">
        <v>70.0</v>
      </c>
      <c r="B67" s="258">
        <v>70.0</v>
      </c>
      <c r="C67" s="260">
        <v>383.0</v>
      </c>
      <c r="D67" s="260" t="str">
        <f>IFERROR(__xludf.DUMMYFUNCTION("if(B67&lt;=999,if(B67&lt;=99,IF(B67&lt;=9,join(,""000"",B67),join(,""00"",B67)),join(,""0"",B67)),B67)"),"0070")</f>
        <v>0070</v>
      </c>
      <c r="E67" s="270" t="s">
        <v>920</v>
      </c>
      <c r="F67" s="263"/>
      <c r="G67" s="263" t="str">
        <f>vlookup(B67,'Geotagging Master All-Training '!$A$2:$C$2474,3,false)</f>
        <v>#N/A</v>
      </c>
      <c r="H67" s="260" t="s">
        <v>20</v>
      </c>
      <c r="I67" s="260" t="s">
        <v>1375</v>
      </c>
      <c r="J67" s="260">
        <v>9.389598748E9</v>
      </c>
      <c r="K67" s="264"/>
      <c r="L67" s="265" t="s">
        <v>35</v>
      </c>
      <c r="M67" s="266" t="s">
        <v>28</v>
      </c>
      <c r="N67" s="266"/>
      <c r="O67" s="266" t="e">
        <v>#N/A</v>
      </c>
      <c r="P67" s="266"/>
      <c r="Q67" s="266"/>
      <c r="R67" s="338" t="s">
        <v>43</v>
      </c>
      <c r="S67" s="382"/>
      <c r="T67" s="382"/>
    </row>
    <row r="68" hidden="1">
      <c r="A68" s="258">
        <v>196.0</v>
      </c>
      <c r="B68" s="258">
        <v>196.0</v>
      </c>
      <c r="C68" s="260">
        <v>388.0</v>
      </c>
      <c r="D68" s="260" t="str">
        <f>IFERROR(__xludf.DUMMYFUNCTION("if(B68&lt;=999,if(B68&lt;=99,IF(B68&lt;=9,join(,""000"",B68),join(,""00"",B68)),join(,""0"",B68)),B68)"),"0196")</f>
        <v>0196</v>
      </c>
      <c r="E68" s="270" t="s">
        <v>265</v>
      </c>
      <c r="F68" s="263"/>
      <c r="G68" s="263" t="str">
        <f>vlookup(B68,'Geotagging Master All-Training '!$A$2:$C$2474,3,false)</f>
        <v>#N/A</v>
      </c>
      <c r="H68" s="260" t="s">
        <v>20</v>
      </c>
      <c r="I68" s="260" t="str">
        <f t="shared" ref="I68:I69" si="14">VLOOKUP(D68,'Copy of Form Responses; CCTV Infra 1'!$G$2:$I$675,2,false)</f>
        <v>#REF!</v>
      </c>
      <c r="J68" s="260" t="str">
        <f t="shared" ref="J68:J69" si="15">VLOOKUP(D68,'Copy of Form Responses; CCTV Infra 1'!$G$2:$I$675,3,false)</f>
        <v>#REF!</v>
      </c>
      <c r="K68" s="264" t="s">
        <v>77</v>
      </c>
      <c r="L68" s="265" t="s">
        <v>35</v>
      </c>
      <c r="M68" s="266" t="s">
        <v>23</v>
      </c>
      <c r="N68" s="266" t="s">
        <v>1455</v>
      </c>
      <c r="O68" s="266" t="s">
        <v>266</v>
      </c>
      <c r="P68" s="266" t="s">
        <v>1456</v>
      </c>
      <c r="Q68" s="266" t="s">
        <v>1456</v>
      </c>
      <c r="R68" s="338" t="s">
        <v>87</v>
      </c>
      <c r="S68" s="382"/>
      <c r="T68" s="382"/>
    </row>
    <row r="69" hidden="1">
      <c r="A69" s="258">
        <v>325.0</v>
      </c>
      <c r="B69" s="258">
        <v>325.0</v>
      </c>
      <c r="C69" s="260">
        <v>394.0</v>
      </c>
      <c r="D69" s="260" t="str">
        <f>IFERROR(__xludf.DUMMYFUNCTION("if(B69&lt;=999,if(B69&lt;=99,IF(B69&lt;=9,join(,""000"",B69),join(,""00"",B69)),join(,""0"",B69)),B69)"),"0325")</f>
        <v>0325</v>
      </c>
      <c r="E69" s="270" t="s">
        <v>938</v>
      </c>
      <c r="F69" s="263"/>
      <c r="G69" s="263" t="str">
        <f>vlookup(B69,'Geotagging Master All-Training '!$A$2:$C$2474,3,false)</f>
        <v>#N/A</v>
      </c>
      <c r="H69" s="260" t="s">
        <v>35</v>
      </c>
      <c r="I69" s="260" t="str">
        <f t="shared" si="14"/>
        <v>#REF!</v>
      </c>
      <c r="J69" s="260" t="str">
        <f t="shared" si="15"/>
        <v>#REF!</v>
      </c>
      <c r="K69" s="264"/>
      <c r="L69" s="265" t="s">
        <v>35</v>
      </c>
      <c r="M69" s="266"/>
      <c r="N69" s="266"/>
      <c r="O69" s="266" t="e">
        <v>#N/A</v>
      </c>
      <c r="P69" s="266"/>
      <c r="Q69" s="266"/>
      <c r="R69" s="338" t="s">
        <v>1423</v>
      </c>
      <c r="S69" s="382"/>
      <c r="T69" s="382"/>
    </row>
    <row r="70" hidden="1">
      <c r="A70" s="258">
        <v>1262.0</v>
      </c>
      <c r="B70" s="258">
        <v>1262.0</v>
      </c>
      <c r="C70" s="260">
        <v>405.0</v>
      </c>
      <c r="D70" s="260">
        <f>IFERROR(__xludf.DUMMYFUNCTION("if(B70&lt;=999,if(B70&lt;=99,IF(B70&lt;=9,join(,""000"",B70),join(,""00"",B70)),join(,""0"",B70)),B70)"),1262.0)</f>
        <v>1262</v>
      </c>
      <c r="E70" s="270" t="s">
        <v>962</v>
      </c>
      <c r="F70" s="263"/>
      <c r="G70" s="263" t="str">
        <f>vlookup(B70,'Geotagging Master All-Training '!$A$2:$C$2474,3,false)</f>
        <v>#N/A</v>
      </c>
      <c r="H70" s="260" t="s">
        <v>20</v>
      </c>
      <c r="I70" s="260" t="s">
        <v>1457</v>
      </c>
      <c r="J70" s="260">
        <v>9.005959049E9</v>
      </c>
      <c r="K70" s="264"/>
      <c r="L70" s="265" t="s">
        <v>35</v>
      </c>
      <c r="M70" s="266" t="s">
        <v>95</v>
      </c>
      <c r="N70" s="266"/>
      <c r="O70" s="266" t="e">
        <v>#N/A</v>
      </c>
      <c r="P70" s="266"/>
      <c r="Q70" s="266"/>
      <c r="R70" s="338" t="s">
        <v>1425</v>
      </c>
      <c r="S70" s="382"/>
      <c r="T70" s="382"/>
    </row>
    <row r="71" hidden="1">
      <c r="A71" s="258">
        <v>1406.0</v>
      </c>
      <c r="B71" s="259">
        <v>1406.0</v>
      </c>
      <c r="C71" s="260">
        <v>440.0</v>
      </c>
      <c r="D71" s="260">
        <f>IFERROR(__xludf.DUMMYFUNCTION("if(B71&lt;=999,if(B71&lt;=99,IF(B71&lt;=9,join(,""000"",B71),join(,""00"",B71)),join(,""0"",B71)),B71)"),1406.0)</f>
        <v>1406</v>
      </c>
      <c r="E71" s="270" t="s">
        <v>1033</v>
      </c>
      <c r="F71" s="263"/>
      <c r="G71" s="263" t="str">
        <f>vlookup(B71,'Geotagging Master All-Training '!$A$2:$C$2474,3,false)</f>
        <v>#N/A</v>
      </c>
      <c r="H71" s="260" t="s">
        <v>35</v>
      </c>
      <c r="I71" s="260" t="str">
        <f t="shared" ref="I71:I77" si="16">VLOOKUP(D71,'Copy of Form Responses; CCTV Infra 1'!$G$2:$I$675,2,false)</f>
        <v>#REF!</v>
      </c>
      <c r="J71" s="260" t="str">
        <f t="shared" ref="J71:J77" si="17">VLOOKUP(D71,'Copy of Form Responses; CCTV Infra 1'!$G$2:$I$675,3,false)</f>
        <v>#REF!</v>
      </c>
      <c r="K71" s="264"/>
      <c r="L71" s="265" t="s">
        <v>35</v>
      </c>
      <c r="M71" s="266"/>
      <c r="N71" s="266"/>
      <c r="O71" s="266" t="e">
        <v>#N/A</v>
      </c>
      <c r="P71" s="266"/>
      <c r="Q71" s="266"/>
      <c r="R71" s="338" t="s">
        <v>1423</v>
      </c>
      <c r="S71" s="382"/>
      <c r="T71" s="382"/>
    </row>
    <row r="72" hidden="1">
      <c r="A72" s="258">
        <v>1273.0</v>
      </c>
      <c r="B72" s="258">
        <v>1273.0</v>
      </c>
      <c r="C72" s="260">
        <v>447.0</v>
      </c>
      <c r="D72" s="260">
        <f>IFERROR(__xludf.DUMMYFUNCTION("if(B72&lt;=999,if(B72&lt;=99,IF(B72&lt;=9,join(,""000"",B72),join(,""00"",B72)),join(,""0"",B72)),B72)"),1273.0)</f>
        <v>1273</v>
      </c>
      <c r="E72" s="270" t="s">
        <v>322</v>
      </c>
      <c r="F72" s="263"/>
      <c r="G72" s="263" t="str">
        <f>vlookup(B72,'Geotagging Master All-Training '!$A$2:$C$2474,3,false)</f>
        <v>#N/A</v>
      </c>
      <c r="H72" s="260" t="s">
        <v>20</v>
      </c>
      <c r="I72" s="260" t="str">
        <f t="shared" si="16"/>
        <v>#REF!</v>
      </c>
      <c r="J72" s="260" t="str">
        <f t="shared" si="17"/>
        <v>#REF!</v>
      </c>
      <c r="K72" s="264" t="s">
        <v>99</v>
      </c>
      <c r="L72" s="265" t="s">
        <v>35</v>
      </c>
      <c r="M72" s="266"/>
      <c r="N72" s="266" t="s">
        <v>1431</v>
      </c>
      <c r="O72" s="266"/>
      <c r="P72" s="266"/>
      <c r="Q72" s="266"/>
      <c r="R72" s="338" t="s">
        <v>50</v>
      </c>
      <c r="S72" s="382"/>
      <c r="T72" s="382"/>
    </row>
    <row r="73" hidden="1">
      <c r="A73" s="258">
        <v>1096.0</v>
      </c>
      <c r="B73" s="259">
        <v>1096.0</v>
      </c>
      <c r="C73" s="260">
        <v>448.0</v>
      </c>
      <c r="D73" s="260">
        <f>IFERROR(__xludf.DUMMYFUNCTION("if(B73&lt;=999,if(B73&lt;=99,IF(B73&lt;=9,join(,""000"",B73),join(,""00"",B73)),join(,""0"",B73)),B73)"),1096.0)</f>
        <v>1096</v>
      </c>
      <c r="E73" s="270" t="s">
        <v>416</v>
      </c>
      <c r="F73" s="263"/>
      <c r="G73" s="263" t="str">
        <f>vlookup(B73,'Geotagging Master All-Training '!$A$2:$C$2474,3,false)</f>
        <v>#N/A</v>
      </c>
      <c r="H73" s="260" t="s">
        <v>20</v>
      </c>
      <c r="I73" s="260" t="str">
        <f t="shared" si="16"/>
        <v>#REF!</v>
      </c>
      <c r="J73" s="260" t="str">
        <f t="shared" si="17"/>
        <v>#REF!</v>
      </c>
      <c r="K73" s="264" t="s">
        <v>99</v>
      </c>
      <c r="L73" s="265" t="s">
        <v>35</v>
      </c>
      <c r="M73" s="393" t="s">
        <v>95</v>
      </c>
      <c r="N73" s="393" t="s">
        <v>1458</v>
      </c>
      <c r="O73" s="266" t="e">
        <v>#N/A</v>
      </c>
      <c r="P73" s="393" t="s">
        <v>25</v>
      </c>
      <c r="Q73" s="393" t="s">
        <v>163</v>
      </c>
      <c r="R73" s="338" t="s">
        <v>87</v>
      </c>
      <c r="S73" s="382"/>
      <c r="T73" s="382"/>
    </row>
    <row r="74" hidden="1">
      <c r="A74" s="258">
        <v>1399.0</v>
      </c>
      <c r="B74" s="259">
        <v>1399.0</v>
      </c>
      <c r="C74" s="260">
        <v>453.0</v>
      </c>
      <c r="D74" s="260">
        <f>IFERROR(__xludf.DUMMYFUNCTION("if(B74&lt;=999,if(B74&lt;=99,IF(B74&lt;=9,join(,""000"",B74),join(,""00"",B74)),join(,""0"",B74)),B74)"),1399.0)</f>
        <v>1399</v>
      </c>
      <c r="E74" s="270" t="s">
        <v>494</v>
      </c>
      <c r="F74" s="263"/>
      <c r="G74" s="263" t="str">
        <f>vlookup(B74,'Geotagging Master All-Training '!$A$2:$C$2474,3,false)</f>
        <v>#N/A</v>
      </c>
      <c r="H74" s="260" t="s">
        <v>20</v>
      </c>
      <c r="I74" s="260" t="str">
        <f t="shared" si="16"/>
        <v>#REF!</v>
      </c>
      <c r="J74" s="260" t="str">
        <f t="shared" si="17"/>
        <v>#REF!</v>
      </c>
      <c r="K74" s="264" t="s">
        <v>495</v>
      </c>
      <c r="L74" s="265" t="s">
        <v>35</v>
      </c>
      <c r="M74" s="266" t="s">
        <v>95</v>
      </c>
      <c r="N74" s="266" t="s">
        <v>1459</v>
      </c>
      <c r="O74" s="266">
        <v>5005.0</v>
      </c>
      <c r="P74" s="266" t="s">
        <v>25</v>
      </c>
      <c r="Q74" s="266" t="s">
        <v>55</v>
      </c>
      <c r="R74" s="338" t="s">
        <v>50</v>
      </c>
      <c r="S74" s="382"/>
      <c r="T74" s="382"/>
    </row>
    <row r="75" hidden="1">
      <c r="A75" s="258">
        <v>467.0</v>
      </c>
      <c r="B75" s="258">
        <v>467.0</v>
      </c>
      <c r="C75" s="260">
        <v>455.0</v>
      </c>
      <c r="D75" s="260" t="str">
        <f>IFERROR(__xludf.DUMMYFUNCTION("if(B75&lt;=999,if(B75&lt;=99,IF(B75&lt;=9,join(,""000"",B75),join(,""00"",B75)),join(,""0"",B75)),B75)"),"0467")</f>
        <v>0467</v>
      </c>
      <c r="E75" s="270" t="s">
        <v>1060</v>
      </c>
      <c r="F75" s="263"/>
      <c r="G75" s="263" t="str">
        <f>vlookup(B75,'Geotagging Master All-Training '!$A$2:$C$2474,3,false)</f>
        <v>#N/A</v>
      </c>
      <c r="H75" s="260" t="s">
        <v>35</v>
      </c>
      <c r="I75" s="260" t="str">
        <f t="shared" si="16"/>
        <v>#REF!</v>
      </c>
      <c r="J75" s="260" t="str">
        <f t="shared" si="17"/>
        <v>#REF!</v>
      </c>
      <c r="K75" s="264"/>
      <c r="L75" s="265" t="s">
        <v>35</v>
      </c>
      <c r="M75" s="266"/>
      <c r="N75" s="266"/>
      <c r="O75" s="266" t="e">
        <v>#N/A</v>
      </c>
      <c r="P75" s="266"/>
      <c r="Q75" s="266"/>
      <c r="R75" s="338" t="s">
        <v>1423</v>
      </c>
      <c r="S75" s="382"/>
      <c r="T75" s="382"/>
    </row>
    <row r="76" hidden="1">
      <c r="A76" s="258">
        <v>534.0</v>
      </c>
      <c r="B76" s="258">
        <v>534.0</v>
      </c>
      <c r="C76" s="260">
        <v>467.0</v>
      </c>
      <c r="D76" s="260" t="str">
        <f>IFERROR(__xludf.DUMMYFUNCTION("if(B76&lt;=999,if(B76&lt;=99,IF(B76&lt;=9,join(,""000"",B76),join(,""00"",B76)),join(,""0"",B76)),B76)"),"0534")</f>
        <v>0534</v>
      </c>
      <c r="E76" s="270" t="s">
        <v>1077</v>
      </c>
      <c r="F76" s="263"/>
      <c r="G76" s="263" t="str">
        <f>vlookup(B76,'Geotagging Master All-Training '!$A$2:$C$2474,3,false)</f>
        <v>#N/A</v>
      </c>
      <c r="H76" s="260" t="s">
        <v>35</v>
      </c>
      <c r="I76" s="260" t="str">
        <f t="shared" si="16"/>
        <v>#REF!</v>
      </c>
      <c r="J76" s="260" t="str">
        <f t="shared" si="17"/>
        <v>#REF!</v>
      </c>
      <c r="K76" s="264"/>
      <c r="L76" s="265" t="s">
        <v>35</v>
      </c>
      <c r="M76" s="266"/>
      <c r="N76" s="266"/>
      <c r="O76" s="266" t="e">
        <v>#N/A</v>
      </c>
      <c r="P76" s="266"/>
      <c r="Q76" s="266"/>
      <c r="R76" s="338" t="s">
        <v>1423</v>
      </c>
      <c r="S76" s="382"/>
      <c r="T76" s="382"/>
    </row>
    <row r="77" hidden="1">
      <c r="A77" s="258">
        <v>50.0</v>
      </c>
      <c r="B77" s="258">
        <v>50.0</v>
      </c>
      <c r="C77" s="260">
        <v>468.0</v>
      </c>
      <c r="D77" s="260" t="str">
        <f>IFERROR(__xludf.DUMMYFUNCTION("if(B77&lt;=999,if(B77&lt;=99,IF(B77&lt;=9,join(,""000"",B77),join(,""00"",B77)),join(,""0"",B77)),B77)"),"0050")</f>
        <v>0050</v>
      </c>
      <c r="E77" s="270" t="s">
        <v>1023</v>
      </c>
      <c r="F77" s="263"/>
      <c r="G77" s="263" t="str">
        <f>vlookup(B77,'Geotagging Master All-Training '!$A$2:$C$2474,3,false)</f>
        <v>#N/A</v>
      </c>
      <c r="H77" s="260" t="s">
        <v>20</v>
      </c>
      <c r="I77" s="260" t="str">
        <f t="shared" si="16"/>
        <v>#REF!</v>
      </c>
      <c r="J77" s="260" t="str">
        <f t="shared" si="17"/>
        <v>#REF!</v>
      </c>
      <c r="K77" s="264" t="s">
        <v>101</v>
      </c>
      <c r="L77" s="265" t="s">
        <v>35</v>
      </c>
      <c r="M77" s="269" t="s">
        <v>23</v>
      </c>
      <c r="N77" s="269" t="s">
        <v>1460</v>
      </c>
      <c r="O77" s="266">
        <v>8000.0</v>
      </c>
      <c r="P77" s="269" t="s">
        <v>104</v>
      </c>
      <c r="Q77" s="269"/>
      <c r="R77" s="338" t="s">
        <v>87</v>
      </c>
      <c r="S77" s="382"/>
      <c r="T77" s="382"/>
    </row>
    <row r="78" hidden="1">
      <c r="A78" s="258">
        <v>1428.0</v>
      </c>
      <c r="B78" s="258">
        <v>1428.0</v>
      </c>
      <c r="C78" s="260">
        <v>470.0</v>
      </c>
      <c r="D78" s="260">
        <f>IFERROR(__xludf.DUMMYFUNCTION("if(B78&lt;=999,if(B78&lt;=99,IF(B78&lt;=9,join(,""000"",B78),join(,""00"",B78)),join(,""0"",B78)),B78)"),1428.0)</f>
        <v>1428</v>
      </c>
      <c r="E78" s="270" t="s">
        <v>1058</v>
      </c>
      <c r="F78" s="263"/>
      <c r="G78" s="263" t="str">
        <f>vlookup(B78,'Geotagging Master All-Training '!$A$2:$C$2474,3,false)</f>
        <v>#N/A</v>
      </c>
      <c r="H78" s="260" t="s">
        <v>20</v>
      </c>
      <c r="I78" s="260" t="s">
        <v>1461</v>
      </c>
      <c r="J78" s="260">
        <v>8.840319799E9</v>
      </c>
      <c r="K78" s="264" t="s">
        <v>34</v>
      </c>
      <c r="L78" s="265" t="s">
        <v>35</v>
      </c>
      <c r="M78" s="266" t="s">
        <v>28</v>
      </c>
      <c r="N78" s="266" t="s">
        <v>1462</v>
      </c>
      <c r="O78" s="266"/>
      <c r="P78" s="266"/>
      <c r="Q78" s="266"/>
      <c r="R78" s="338" t="s">
        <v>87</v>
      </c>
      <c r="S78" s="382"/>
      <c r="T78" s="382"/>
    </row>
    <row r="79" hidden="1">
      <c r="A79" s="258">
        <v>1404.0</v>
      </c>
      <c r="B79" s="258">
        <v>1404.0</v>
      </c>
      <c r="C79" s="260">
        <v>495.0</v>
      </c>
      <c r="D79" s="260">
        <f>IFERROR(__xludf.DUMMYFUNCTION("if(B79&lt;=999,if(B79&lt;=99,IF(B79&lt;=9,join(,""000"",B79),join(,""00"",B79)),join(,""0"",B79)),B79)"),1404.0)</f>
        <v>1404</v>
      </c>
      <c r="E79" s="270" t="s">
        <v>1127</v>
      </c>
      <c r="F79" s="263"/>
      <c r="G79" s="263" t="str">
        <f>vlookup(B79,'Geotagging Master All-Training '!$A$2:$C$2474,3,false)</f>
        <v>#N/A</v>
      </c>
      <c r="H79" s="260" t="s">
        <v>35</v>
      </c>
      <c r="I79" s="260" t="str">
        <f t="shared" ref="I79:I80" si="18">VLOOKUP(D79,'Copy of Form Responses; CCTV Infra 1'!$G$2:$I$675,2,false)</f>
        <v>#REF!</v>
      </c>
      <c r="J79" s="260" t="str">
        <f t="shared" ref="J79:J80" si="19">VLOOKUP(D79,'Copy of Form Responses; CCTV Infra 1'!$G$2:$I$675,3,false)</f>
        <v>#REF!</v>
      </c>
      <c r="K79" s="264"/>
      <c r="L79" s="265" t="s">
        <v>35</v>
      </c>
      <c r="M79" s="266"/>
      <c r="N79" s="266"/>
      <c r="O79" s="266" t="e">
        <v>#N/A</v>
      </c>
      <c r="P79" s="266"/>
      <c r="Q79" s="266"/>
      <c r="R79" s="338" t="s">
        <v>1423</v>
      </c>
      <c r="S79" s="382"/>
      <c r="T79" s="382"/>
    </row>
    <row r="80" hidden="1">
      <c r="A80" s="258">
        <v>4.0</v>
      </c>
      <c r="B80" s="258">
        <v>4.0</v>
      </c>
      <c r="C80" s="260">
        <v>499.0</v>
      </c>
      <c r="D80" s="260" t="str">
        <f>IFERROR(__xludf.DUMMYFUNCTION("if(B80&lt;=999,if(B80&lt;=99,IF(B80&lt;=9,join(,""000"",B80),join(,""00"",B80)),join(,""0"",B80)),B80)"),"0004")</f>
        <v>0004</v>
      </c>
      <c r="E80" s="270" t="s">
        <v>1131</v>
      </c>
      <c r="F80" s="263"/>
      <c r="G80" s="263" t="str">
        <f>vlookup(B80,'Geotagging Master All-Training '!$A$2:$C$2474,3,false)</f>
        <v>#N/A</v>
      </c>
      <c r="H80" s="260" t="s">
        <v>20</v>
      </c>
      <c r="I80" s="260" t="str">
        <f t="shared" si="18"/>
        <v>#REF!</v>
      </c>
      <c r="J80" s="260" t="str">
        <f t="shared" si="19"/>
        <v>#REF!</v>
      </c>
      <c r="K80" s="264" t="s">
        <v>101</v>
      </c>
      <c r="L80" s="265" t="s">
        <v>35</v>
      </c>
      <c r="M80" s="266"/>
      <c r="N80" s="266"/>
      <c r="O80" s="266">
        <v>4.0</v>
      </c>
      <c r="P80" s="266"/>
      <c r="Q80" s="266"/>
      <c r="R80" s="338" t="s">
        <v>176</v>
      </c>
      <c r="S80" s="382"/>
      <c r="T80" s="382"/>
    </row>
    <row r="81" hidden="1">
      <c r="A81" s="258">
        <v>1132.0</v>
      </c>
      <c r="B81" s="258">
        <v>1132.0</v>
      </c>
      <c r="C81" s="260">
        <v>509.0</v>
      </c>
      <c r="D81" s="260">
        <f>IFERROR(__xludf.DUMMYFUNCTION("if(B81&lt;=999,if(B81&lt;=99,IF(B81&lt;=9,join(,""000"",B81),join(,""00"",B81)),join(,""0"",B81)),B81)"),1132.0)</f>
        <v>1132</v>
      </c>
      <c r="E81" s="270" t="s">
        <v>1210</v>
      </c>
      <c r="F81" s="263"/>
      <c r="G81" s="263" t="str">
        <f>vlookup(B81,'Geotagging Master All-Training '!$A$2:$C$2474,3,false)</f>
        <v>#N/A</v>
      </c>
      <c r="H81" s="260" t="s">
        <v>20</v>
      </c>
      <c r="I81" s="260" t="s">
        <v>1463</v>
      </c>
      <c r="J81" s="260">
        <v>8.004978521E9</v>
      </c>
      <c r="K81" s="264" t="s">
        <v>99</v>
      </c>
      <c r="L81" s="265" t="s">
        <v>35</v>
      </c>
      <c r="M81" s="394" t="s">
        <v>254</v>
      </c>
      <c r="N81" s="394" t="s">
        <v>1464</v>
      </c>
      <c r="O81" s="266" t="e">
        <v>#N/A</v>
      </c>
      <c r="P81" s="394" t="s">
        <v>25</v>
      </c>
      <c r="Q81" s="394">
        <v>1.2345678E7</v>
      </c>
      <c r="R81" s="277" t="s">
        <v>1330</v>
      </c>
      <c r="S81" s="381"/>
      <c r="T81" s="381"/>
    </row>
    <row r="82" hidden="1">
      <c r="A82" s="258">
        <v>948.0</v>
      </c>
      <c r="B82" s="258">
        <v>948.0</v>
      </c>
      <c r="C82" s="260">
        <v>510.0</v>
      </c>
      <c r="D82" s="260" t="str">
        <f>IFERROR(__xludf.DUMMYFUNCTION("if(B82&lt;=999,if(B82&lt;=99,IF(B82&lt;=9,join(,""000"",B82),join(,""00"",B82)),join(,""0"",B82)),B82)"),"0948")</f>
        <v>0948</v>
      </c>
      <c r="E82" s="270" t="s">
        <v>1288</v>
      </c>
      <c r="F82" s="263"/>
      <c r="G82" s="263" t="str">
        <f>vlookup(B82,'Geotagging Master All-Training '!$A$2:$C$2474,3,false)</f>
        <v>#N/A</v>
      </c>
      <c r="H82" s="260" t="s">
        <v>20</v>
      </c>
      <c r="I82" s="260" t="str">
        <f t="shared" ref="I82:I85" si="20">VLOOKUP(D82,'Copy of Form Responses; CCTV Infra 1'!$G$2:$I$675,2,false)</f>
        <v>#REF!</v>
      </c>
      <c r="J82" s="260" t="str">
        <f t="shared" ref="J82:J85" si="21">VLOOKUP(D82,'Copy of Form Responses; CCTV Infra 1'!$G$2:$I$675,3,false)</f>
        <v>#REF!</v>
      </c>
      <c r="K82" s="264" t="s">
        <v>101</v>
      </c>
      <c r="L82" s="265" t="s">
        <v>35</v>
      </c>
      <c r="M82" s="266"/>
      <c r="N82" s="266" t="s">
        <v>1465</v>
      </c>
      <c r="O82" s="266"/>
      <c r="P82" s="266"/>
      <c r="Q82" s="266"/>
      <c r="R82" s="338" t="s">
        <v>87</v>
      </c>
      <c r="S82" s="382"/>
      <c r="T82" s="382"/>
    </row>
    <row r="83" hidden="1">
      <c r="A83" s="258">
        <v>1077.0</v>
      </c>
      <c r="B83" s="258">
        <v>1077.0</v>
      </c>
      <c r="C83" s="260">
        <v>514.0</v>
      </c>
      <c r="D83" s="260">
        <f>IFERROR(__xludf.DUMMYFUNCTION("if(B83&lt;=999,if(B83&lt;=99,IF(B83&lt;=9,join(,""000"",B83),join(,""00"",B83)),join(,""0"",B83)),B83)"),1077.0)</f>
        <v>1077</v>
      </c>
      <c r="E83" s="270" t="s">
        <v>1276</v>
      </c>
      <c r="F83" s="263"/>
      <c r="G83" s="263" t="str">
        <f>vlookup(B83,'Geotagging Master All-Training '!$A$2:$C$2474,3,false)</f>
        <v>#N/A</v>
      </c>
      <c r="H83" s="260" t="s">
        <v>20</v>
      </c>
      <c r="I83" s="260" t="str">
        <f t="shared" si="20"/>
        <v>#REF!</v>
      </c>
      <c r="J83" s="260" t="str">
        <f t="shared" si="21"/>
        <v>#REF!</v>
      </c>
      <c r="K83" s="264" t="s">
        <v>117</v>
      </c>
      <c r="L83" s="265" t="s">
        <v>35</v>
      </c>
      <c r="M83" s="266"/>
      <c r="N83" s="266" t="s">
        <v>1465</v>
      </c>
      <c r="O83" s="266">
        <v>25001.0</v>
      </c>
      <c r="P83" s="266"/>
      <c r="Q83" s="266"/>
      <c r="R83" s="338" t="s">
        <v>1466</v>
      </c>
      <c r="S83" s="382"/>
      <c r="T83" s="382"/>
    </row>
    <row r="84" hidden="1">
      <c r="A84" s="258">
        <v>1028.0</v>
      </c>
      <c r="B84" s="258">
        <v>1028.0</v>
      </c>
      <c r="C84" s="260">
        <v>520.0</v>
      </c>
      <c r="D84" s="260">
        <f>IFERROR(__xludf.DUMMYFUNCTION("if(B84&lt;=999,if(B84&lt;=99,IF(B84&lt;=9,join(,""000"",B84),join(,""00"",B84)),join(,""0"",B84)),B84)"),1028.0)</f>
        <v>1028</v>
      </c>
      <c r="E84" s="270" t="s">
        <v>1174</v>
      </c>
      <c r="F84" s="263"/>
      <c r="G84" s="263" t="str">
        <f>vlookup(B84,'Geotagging Master All-Training '!$A$2:$C$2474,3,false)</f>
        <v>#N/A</v>
      </c>
      <c r="H84" s="260" t="s">
        <v>20</v>
      </c>
      <c r="I84" s="260" t="str">
        <f t="shared" si="20"/>
        <v>#REF!</v>
      </c>
      <c r="J84" s="260" t="str">
        <f t="shared" si="21"/>
        <v>#REF!</v>
      </c>
      <c r="K84" s="264" t="s">
        <v>101</v>
      </c>
      <c r="L84" s="265" t="s">
        <v>35</v>
      </c>
      <c r="M84" s="266"/>
      <c r="N84" s="266"/>
      <c r="O84" s="266">
        <v>36666.0</v>
      </c>
      <c r="P84" s="266"/>
      <c r="Q84" s="266"/>
      <c r="R84" s="338">
        <v>1036.0</v>
      </c>
      <c r="S84" s="382"/>
      <c r="T84" s="382"/>
    </row>
    <row r="85" hidden="1">
      <c r="A85" s="258">
        <v>342.0</v>
      </c>
      <c r="B85" s="259">
        <v>342.0</v>
      </c>
      <c r="C85" s="260">
        <v>521.0</v>
      </c>
      <c r="D85" s="260" t="str">
        <f>IFERROR(__xludf.DUMMYFUNCTION("if(B85&lt;=999,if(B85&lt;=99,IF(B85&lt;=9,join(,""000"",B85),join(,""00"",B85)),join(,""0"",B85)),B85)"),"0342")</f>
        <v>0342</v>
      </c>
      <c r="E85" s="270" t="s">
        <v>1175</v>
      </c>
      <c r="F85" s="263"/>
      <c r="G85" s="263" t="str">
        <f>vlookup(B85,'Geotagging Master All-Training '!$A$2:$C$2474,3,false)</f>
        <v>#N/A</v>
      </c>
      <c r="H85" s="260" t="s">
        <v>35</v>
      </c>
      <c r="I85" s="260" t="str">
        <f t="shared" si="20"/>
        <v>#REF!</v>
      </c>
      <c r="J85" s="260" t="str">
        <f t="shared" si="21"/>
        <v>#REF!</v>
      </c>
      <c r="K85" s="264"/>
      <c r="L85" s="265" t="s">
        <v>35</v>
      </c>
      <c r="M85" s="266"/>
      <c r="N85" s="266"/>
      <c r="O85" s="266" t="e">
        <v>#N/A</v>
      </c>
      <c r="P85" s="266"/>
      <c r="Q85" s="266"/>
      <c r="R85" s="338" t="s">
        <v>1423</v>
      </c>
      <c r="S85" s="382"/>
      <c r="T85" s="382"/>
    </row>
    <row r="86" hidden="1">
      <c r="A86" s="258">
        <v>685.0</v>
      </c>
      <c r="B86" s="258">
        <v>685.0</v>
      </c>
      <c r="C86" s="260">
        <v>523.0</v>
      </c>
      <c r="D86" s="260" t="str">
        <f>IFERROR(__xludf.DUMMYFUNCTION("if(B86&lt;=999,if(B86&lt;=99,IF(B86&lt;=9,join(,""000"",B86),join(,""00"",B86)),join(,""0"",B86)),B86)"),"0685")</f>
        <v>0685</v>
      </c>
      <c r="E86" s="270" t="s">
        <v>681</v>
      </c>
      <c r="F86" s="263"/>
      <c r="G86" s="263" t="str">
        <f>vlookup(B86,'Geotagging Master All-Training '!$A$2:$C$2474,3,false)</f>
        <v>#N/A</v>
      </c>
      <c r="H86" s="260" t="s">
        <v>1467</v>
      </c>
      <c r="I86" s="260" t="s">
        <v>1390</v>
      </c>
      <c r="J86" s="260">
        <v>9.839226595E9</v>
      </c>
      <c r="K86" s="264"/>
      <c r="L86" s="265" t="s">
        <v>35</v>
      </c>
      <c r="M86" s="277" t="s">
        <v>95</v>
      </c>
      <c r="N86" s="266" t="s">
        <v>1468</v>
      </c>
      <c r="O86" s="266"/>
      <c r="P86" s="266" t="s">
        <v>25</v>
      </c>
      <c r="Q86" s="266">
        <v>8.7654321E7</v>
      </c>
      <c r="R86" s="395" t="s">
        <v>1469</v>
      </c>
      <c r="S86" s="396"/>
      <c r="T86" s="396"/>
    </row>
    <row r="87" hidden="1">
      <c r="A87" s="258">
        <v>536.0</v>
      </c>
      <c r="B87" s="258">
        <v>536.0</v>
      </c>
      <c r="C87" s="260">
        <v>524.0</v>
      </c>
      <c r="D87" s="260" t="str">
        <f>IFERROR(__xludf.DUMMYFUNCTION("if(B87&lt;=999,if(B87&lt;=99,IF(B87&lt;=9,join(,""000"",B87),join(,""00"",B87)),join(,""0"",B87)),B87)"),"0536")</f>
        <v>0536</v>
      </c>
      <c r="E87" s="270" t="s">
        <v>1180</v>
      </c>
      <c r="F87" s="263"/>
      <c r="G87" s="263" t="str">
        <f>vlookup(B87,'Geotagging Master All-Training '!$A$2:$C$2474,3,false)</f>
        <v>#N/A</v>
      </c>
      <c r="H87" s="260" t="s">
        <v>35</v>
      </c>
      <c r="I87" s="260" t="str">
        <f t="shared" ref="I87:I95" si="22">VLOOKUP(D87,'Copy of Form Responses; CCTV Infra 1'!$G$2:$I$675,2,false)</f>
        <v>#REF!</v>
      </c>
      <c r="J87" s="260" t="str">
        <f t="shared" ref="J87:J93" si="23">VLOOKUP(D87,'Copy of Form Responses; CCTV Infra 1'!$G$2:$I$675,3,false)</f>
        <v>#REF!</v>
      </c>
      <c r="K87" s="264"/>
      <c r="L87" s="265" t="s">
        <v>35</v>
      </c>
      <c r="M87" s="266"/>
      <c r="N87" s="266"/>
      <c r="O87" s="266" t="e">
        <v>#N/A</v>
      </c>
      <c r="P87" s="266"/>
      <c r="Q87" s="266"/>
      <c r="R87" s="338" t="s">
        <v>1423</v>
      </c>
      <c r="S87" s="382"/>
      <c r="T87" s="382"/>
    </row>
    <row r="88" hidden="1">
      <c r="A88" s="258">
        <v>1337.0</v>
      </c>
      <c r="B88" s="259">
        <v>1337.0</v>
      </c>
      <c r="C88" s="260">
        <v>525.0</v>
      </c>
      <c r="D88" s="260">
        <f>IFERROR(__xludf.DUMMYFUNCTION("if(B88&lt;=999,if(B88&lt;=99,IF(B88&lt;=9,join(,""000"",B88),join(,""00"",B88)),join(,""0"",B88)),B88)"),1337.0)</f>
        <v>1337</v>
      </c>
      <c r="E88" s="270" t="s">
        <v>349</v>
      </c>
      <c r="F88" s="263"/>
      <c r="G88" s="263" t="str">
        <f>vlookup(B88,'Geotagging Master All-Training '!$A$2:$C$2474,3,false)</f>
        <v>#N/A</v>
      </c>
      <c r="H88" s="260" t="s">
        <v>20</v>
      </c>
      <c r="I88" s="260" t="str">
        <f t="shared" si="22"/>
        <v>#REF!</v>
      </c>
      <c r="J88" s="260" t="str">
        <f t="shared" si="23"/>
        <v>#REF!</v>
      </c>
      <c r="K88" s="264" t="s">
        <v>34</v>
      </c>
      <c r="L88" s="265" t="s">
        <v>35</v>
      </c>
      <c r="M88" s="266" t="s">
        <v>95</v>
      </c>
      <c r="N88" s="266" t="s">
        <v>1470</v>
      </c>
      <c r="O88" s="266">
        <v>25001.0</v>
      </c>
      <c r="P88" s="266" t="s">
        <v>104</v>
      </c>
      <c r="Q88" s="266" t="s">
        <v>1471</v>
      </c>
      <c r="R88" s="277" t="s">
        <v>1330</v>
      </c>
      <c r="S88" s="381"/>
      <c r="T88" s="381"/>
    </row>
    <row r="89" hidden="1">
      <c r="A89" s="258">
        <v>1246.0</v>
      </c>
      <c r="B89" s="259">
        <v>1246.0</v>
      </c>
      <c r="C89" s="260">
        <v>528.0</v>
      </c>
      <c r="D89" s="260">
        <f>IFERROR(__xludf.DUMMYFUNCTION("if(B89&lt;=999,if(B89&lt;=99,IF(B89&lt;=9,join(,""000"",B89),join(,""00"",B89)),join(,""0"",B89)),B89)"),1246.0)</f>
        <v>1246</v>
      </c>
      <c r="E89" s="270" t="s">
        <v>1184</v>
      </c>
      <c r="F89" s="263"/>
      <c r="G89" s="263" t="str">
        <f>vlookup(B89,'Geotagging Master All-Training '!$A$2:$C$2474,3,false)</f>
        <v>#N/A</v>
      </c>
      <c r="H89" s="260" t="s">
        <v>35</v>
      </c>
      <c r="I89" s="260" t="str">
        <f t="shared" si="22"/>
        <v>#REF!</v>
      </c>
      <c r="J89" s="260" t="str">
        <f t="shared" si="23"/>
        <v>#REF!</v>
      </c>
      <c r="K89" s="264"/>
      <c r="L89" s="265" t="s">
        <v>35</v>
      </c>
      <c r="M89" s="266"/>
      <c r="N89" s="266"/>
      <c r="O89" s="266" t="e">
        <v>#N/A</v>
      </c>
      <c r="P89" s="266"/>
      <c r="Q89" s="266"/>
      <c r="R89" s="338" t="s">
        <v>1423</v>
      </c>
      <c r="S89" s="382"/>
      <c r="T89" s="382"/>
    </row>
    <row r="90" hidden="1">
      <c r="A90" s="258">
        <v>1045.0</v>
      </c>
      <c r="B90" s="259">
        <v>1045.0</v>
      </c>
      <c r="C90" s="260">
        <v>547.0</v>
      </c>
      <c r="D90" s="260">
        <f>IFERROR(__xludf.DUMMYFUNCTION("if(B90&lt;=999,if(B90&lt;=99,IF(B90&lt;=9,join(,""000"",B90),join(,""00"",B90)),join(,""0"",B90)),B90)"),1045.0)</f>
        <v>1045</v>
      </c>
      <c r="E90" s="270" t="s">
        <v>1215</v>
      </c>
      <c r="F90" s="263"/>
      <c r="G90" s="263" t="str">
        <f>vlookup(B90,'Geotagging Master All-Training '!$A$2:$C$2474,3,false)</f>
        <v>#N/A</v>
      </c>
      <c r="H90" s="260" t="s">
        <v>35</v>
      </c>
      <c r="I90" s="260" t="str">
        <f t="shared" si="22"/>
        <v>#REF!</v>
      </c>
      <c r="J90" s="260" t="str">
        <f t="shared" si="23"/>
        <v>#REF!</v>
      </c>
      <c r="K90" s="264"/>
      <c r="L90" s="265" t="s">
        <v>35</v>
      </c>
      <c r="M90" s="266"/>
      <c r="N90" s="266"/>
      <c r="O90" s="266" t="e">
        <v>#N/A</v>
      </c>
      <c r="P90" s="266"/>
      <c r="Q90" s="266"/>
      <c r="R90" s="338" t="s">
        <v>1423</v>
      </c>
      <c r="S90" s="382"/>
      <c r="T90" s="382"/>
    </row>
    <row r="91" hidden="1">
      <c r="A91" s="258">
        <v>350.0</v>
      </c>
      <c r="B91" s="259">
        <v>350.0</v>
      </c>
      <c r="C91" s="260">
        <v>555.0</v>
      </c>
      <c r="D91" s="260" t="str">
        <f>IFERROR(__xludf.DUMMYFUNCTION("if(B91&lt;=999,if(B91&lt;=99,IF(B91&lt;=9,join(,""000"",B91),join(,""00"",B91)),join(,""0"",B91)),B91)"),"0350")</f>
        <v>0350</v>
      </c>
      <c r="E91" s="270" t="s">
        <v>1233</v>
      </c>
      <c r="F91" s="263"/>
      <c r="G91" s="263" t="str">
        <f>vlookup(B91,'Geotagging Master All-Training '!$A$2:$C$2474,3,false)</f>
        <v>#N/A</v>
      </c>
      <c r="H91" s="260" t="s">
        <v>35</v>
      </c>
      <c r="I91" s="260" t="str">
        <f t="shared" si="22"/>
        <v>#REF!</v>
      </c>
      <c r="J91" s="260" t="str">
        <f t="shared" si="23"/>
        <v>#REF!</v>
      </c>
      <c r="K91" s="264"/>
      <c r="L91" s="265" t="s">
        <v>35</v>
      </c>
      <c r="M91" s="266"/>
      <c r="N91" s="266"/>
      <c r="O91" s="266" t="e">
        <v>#N/A</v>
      </c>
      <c r="P91" s="266"/>
      <c r="Q91" s="266"/>
      <c r="R91" s="338" t="s">
        <v>1423</v>
      </c>
      <c r="S91" s="382"/>
      <c r="T91" s="382"/>
    </row>
    <row r="92" hidden="1">
      <c r="A92" s="258">
        <v>246.0</v>
      </c>
      <c r="B92" s="259">
        <v>246.0</v>
      </c>
      <c r="C92" s="260">
        <v>573.0</v>
      </c>
      <c r="D92" s="260" t="str">
        <f>IFERROR(__xludf.DUMMYFUNCTION("if(B92&lt;=999,if(B92&lt;=99,IF(B92&lt;=9,join(,""000"",B92),join(,""00"",B92)),join(,""0"",B92)),B92)"),"0246")</f>
        <v>0246</v>
      </c>
      <c r="E92" s="270" t="s">
        <v>1263</v>
      </c>
      <c r="F92" s="263"/>
      <c r="G92" s="263" t="str">
        <f>vlookup(B92,'Geotagging Master All-Training '!$A$2:$C$2474,3,false)</f>
        <v>#N/A</v>
      </c>
      <c r="H92" s="260" t="s">
        <v>20</v>
      </c>
      <c r="I92" s="260" t="str">
        <f t="shared" si="22"/>
        <v>#REF!</v>
      </c>
      <c r="J92" s="260" t="str">
        <f t="shared" si="23"/>
        <v>#REF!</v>
      </c>
      <c r="K92" s="264" t="s">
        <v>101</v>
      </c>
      <c r="L92" s="265" t="s">
        <v>35</v>
      </c>
      <c r="M92" s="266"/>
      <c r="N92" s="266"/>
      <c r="O92" s="266">
        <v>80.0</v>
      </c>
      <c r="P92" s="266"/>
      <c r="Q92" s="266"/>
      <c r="R92" s="338" t="s">
        <v>43</v>
      </c>
      <c r="S92" s="382"/>
      <c r="T92" s="382"/>
    </row>
    <row r="93" hidden="1">
      <c r="A93" s="258">
        <v>1388.0</v>
      </c>
      <c r="B93" s="258">
        <v>1388.0</v>
      </c>
      <c r="C93" s="260">
        <v>585.0</v>
      </c>
      <c r="D93" s="260">
        <f>IFERROR(__xludf.DUMMYFUNCTION("if(B93&lt;=999,if(B93&lt;=99,IF(B93&lt;=9,join(,""000"",B93),join(,""00"",B93)),join(,""0"",B93)),B93)"),1388.0)</f>
        <v>1388</v>
      </c>
      <c r="E93" s="270" t="s">
        <v>1282</v>
      </c>
      <c r="F93" s="263"/>
      <c r="G93" s="263" t="str">
        <f>vlookup(B93,'Geotagging Master All-Training '!$A$2:$C$2474,3,false)</f>
        <v>#N/A</v>
      </c>
      <c r="H93" s="260" t="s">
        <v>35</v>
      </c>
      <c r="I93" s="260" t="str">
        <f t="shared" si="22"/>
        <v>#REF!</v>
      </c>
      <c r="J93" s="260" t="str">
        <f t="shared" si="23"/>
        <v>#REF!</v>
      </c>
      <c r="K93" s="264"/>
      <c r="L93" s="265" t="s">
        <v>35</v>
      </c>
      <c r="M93" s="266"/>
      <c r="N93" s="266"/>
      <c r="O93" s="266" t="e">
        <v>#N/A</v>
      </c>
      <c r="P93" s="266"/>
      <c r="Q93" s="266"/>
      <c r="R93" s="338" t="s">
        <v>1423</v>
      </c>
      <c r="S93" s="382"/>
      <c r="T93" s="382"/>
    </row>
    <row r="94" hidden="1">
      <c r="A94" s="258">
        <v>351.0</v>
      </c>
      <c r="B94" s="259">
        <v>351.0</v>
      </c>
      <c r="C94" s="260">
        <v>588.0</v>
      </c>
      <c r="D94" s="260" t="str">
        <f>IFERROR(__xludf.DUMMYFUNCTION("if(B94&lt;=999,if(B94&lt;=99,IF(B94&lt;=9,join(,""000"",B94),join(,""00"",B94)),join(,""0"",B94)),B94)"),"0351")</f>
        <v>0351</v>
      </c>
      <c r="E94" s="270" t="s">
        <v>421</v>
      </c>
      <c r="F94" s="263"/>
      <c r="G94" s="263" t="str">
        <f>vlookup(B94,'Geotagging Master All-Training '!$A$2:$C$2474,3,false)</f>
        <v>#N/A</v>
      </c>
      <c r="H94" s="260" t="s">
        <v>20</v>
      </c>
      <c r="I94" s="260" t="str">
        <f t="shared" si="22"/>
        <v>#REF!</v>
      </c>
      <c r="J94" s="260">
        <v>9.818917639E9</v>
      </c>
      <c r="K94" s="264" t="s">
        <v>77</v>
      </c>
      <c r="L94" s="265" t="s">
        <v>35</v>
      </c>
      <c r="M94" s="266"/>
      <c r="N94" s="266" t="s">
        <v>1472</v>
      </c>
      <c r="O94" s="266" t="s">
        <v>422</v>
      </c>
      <c r="P94" s="266"/>
      <c r="Q94" s="266"/>
      <c r="R94" s="338" t="s">
        <v>1473</v>
      </c>
      <c r="S94" s="382"/>
      <c r="T94" s="382"/>
    </row>
    <row r="95" hidden="1">
      <c r="A95" s="272">
        <v>1046.0</v>
      </c>
      <c r="B95" s="272">
        <v>1046.0</v>
      </c>
      <c r="C95" s="260">
        <v>589.0</v>
      </c>
      <c r="D95" s="273">
        <f>IFERROR(__xludf.DUMMYFUNCTION("if(B95&lt;=999,if(B95&lt;=99,IF(B95&lt;=9,join(,""000"",B95),join(,""00"",B95)),join(,""0"",B95)),B95)"),1046.0)</f>
        <v>1046</v>
      </c>
      <c r="E95" s="304" t="s">
        <v>429</v>
      </c>
      <c r="F95" s="263"/>
      <c r="G95" s="263" t="str">
        <f>vlookup(B95,'Geotagging Master All-Training '!$A$2:$C$2474,3,false)</f>
        <v>#N/A</v>
      </c>
      <c r="H95" s="273" t="s">
        <v>20</v>
      </c>
      <c r="I95" s="273" t="str">
        <f t="shared" si="22"/>
        <v>#REF!</v>
      </c>
      <c r="J95" s="273" t="str">
        <f>VLOOKUP(D95,'Copy of Form Responses; CCTV Infra 1'!$G$2:$I$675,3,false)</f>
        <v>#REF!</v>
      </c>
      <c r="K95" s="275" t="s">
        <v>60</v>
      </c>
      <c r="L95" s="265" t="s">
        <v>35</v>
      </c>
      <c r="M95" s="277"/>
      <c r="N95" s="277" t="s">
        <v>430</v>
      </c>
      <c r="O95" s="277"/>
      <c r="P95" s="277"/>
      <c r="Q95" s="277"/>
      <c r="R95" s="277"/>
      <c r="S95" s="381"/>
      <c r="T95" s="381"/>
    </row>
  </sheetData>
  <autoFilter ref="$A$8:$T$95">
    <filterColumn colId="11">
      <filters blank="1"/>
    </filterColumn>
  </autoFilter>
  <customSheetViews>
    <customSheetView guid="{1C94B833-20B3-4B74-ACE6-0864EB8F8213}" filter="1" showAutoFilter="1">
      <autoFilter ref="$A$8:$R$95"/>
    </customSheetView>
    <customSheetView guid="{B340BCCB-2239-4F53-A7F5-8859E4CC659F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55429418-C5E5-48EC-BE8C-D5FCDB9B5FF0}" filter="1" showAutoFilter="1">
      <autoFilter ref="$A$8:$R$95">
        <filterColumn colId="7">
          <filters blank="1">
            <filter val="No"/>
            <filter val="yes"/>
          </filters>
        </filterColumn>
      </autoFilter>
    </customSheetView>
    <customSheetView guid="{3244BD90-1F1B-49B1-9805-E2AEEAC5DF7E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83CFE988-7961-4294-A58B-6D43D804AA72}" filter="1" showAutoFilter="1">
      <autoFilter ref="$A$8:$R$95"/>
    </customSheetView>
    <customSheetView guid="{89D674A9-5E02-46F3-8EAE-C90AAEBD18CB}" filter="1" showAutoFilter="1">
      <autoFilter ref="$A$8:$R$95">
        <filterColumn colId="17">
          <filters>
            <filter val="Does Not Become Center"/>
            <filter val="Local IP; will provide tomorrow"/>
            <filter val="VERIFIED"/>
            <filter val="re congiuration"/>
            <filter val="1036"/>
            <filter val="ROUTER CONFIGURATION"/>
            <filter val="REQUEST TIME OUT"/>
            <filter val="page not opening"/>
            <filter val="center has closed"/>
          </filters>
        </filterColumn>
        <filterColumn colId="11">
          <filters blank="1">
            <filter val="No"/>
          </filters>
        </filterColumn>
      </autoFilter>
    </customSheetView>
    <customSheetView guid="{E011813A-1907-4E19-A9F9-B58EB77877E4}" filter="1" showAutoFilter="1">
      <autoFilter ref="$A$8:$R$95">
        <filterColumn colId="12">
          <filters>
            <filter val="Hik Vision"/>
            <filter val="CP Plus"/>
            <filter val="D"/>
            <filter val="DAHUA"/>
            <filter val="Hikvision"/>
          </filters>
        </filterColumn>
      </autoFilter>
    </customSheetView>
    <customSheetView guid="{1DC2AD82-D692-4630-94C1-2791270E8794}" filter="1" showAutoFilter="1">
      <autoFilter ref="$O$3"/>
    </customSheetView>
    <customSheetView guid="{910CCA99-ECFE-4553-A281-5C978C3187C0}" filter="1" showAutoFilter="1">
      <autoFilter ref="$P$1:$Q$1"/>
    </customSheetView>
    <customSheetView guid="{D0F387BE-95CD-4215-B4D7-7CB6B328D750}" filter="1" showAutoFilter="1">
      <autoFilter ref="$A$8:$R$95">
        <filterColumn colId="17">
          <filters blank="1">
            <filter val="Does Not Become Center"/>
            <filter val="Do Not Want To Become Examination Centres"/>
            <filter val="Local IP; will provide tomorrow"/>
            <filter val="re congiuration"/>
            <filter val="1036"/>
            <filter val="ROUTER CONFIGURATION"/>
            <filter val="REQUEST TIME OUT"/>
            <filter val="Wrong IP"/>
            <filter val="page not opening"/>
            <filter val="center has closed"/>
          </filters>
        </filterColumn>
      </autoFilter>
    </customSheetView>
    <customSheetView guid="{461316B6-17F5-406C-AD29-9E9E363CFA06}" filter="1" showAutoFilter="1">
      <autoFilter ref="$A$8:$R$95">
        <filterColumn colId="12">
          <filters>
            <filter val="Hik Vision"/>
            <filter val="CP Plus"/>
            <filter val="D"/>
            <filter val="DAHUA"/>
            <filter val="Hikvision"/>
          </filters>
        </filterColumn>
      </autoFilter>
    </customSheetView>
    <customSheetView guid="{B8F91280-5839-4824-9837-B33C2803B9C9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3D2377A7-7B9A-4DD0-8064-B35170BE2591}" filter="1" showAutoFilter="1">
      <autoFilter ref="$A$8:$R$95">
        <filterColumn colId="8">
          <filters blank="1">
            <filter val="Mohit"/>
            <filter val="]]"/>
            <filter val="HIMANSHU GAURAV"/>
            <filter val="#REF!"/>
            <filter val="Vincent"/>
            <filter val="Ms. Gaus Fatima"/>
            <filter val="Mohammad Hifzur Rehman"/>
            <filter val="Umesh electronic"/>
            <filter val="PANKAJ KUMAR DUBEY"/>
            <filter val="Ahmad"/>
            <filter val="Pintu Pandey/ AWNISH KUMAR"/>
            <filter val="JAVED"/>
            <filter val="SHEELA KAPOOR"/>
            <filter val="Vishal singh"/>
            <filter val="Ms. Naeem Fatima"/>
          </filters>
        </filterColumn>
        <filterColumn colId="17">
          <filters blank="1">
            <filter val="Page not opening; user name, password not provided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29638FDE-F393-4482-95FA-94A7C29B2F6D}" filter="1" showAutoFilter="1">
      <autoFilter ref="$A$8:$R$95">
        <filterColumn colId="11">
          <filters blank="1">
            <filter val="No"/>
          </filters>
        </filterColumn>
      </autoFilter>
    </customSheetView>
    <customSheetView guid="{8C74C9FC-D395-430E-9425-07E8EBD06DD9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949CA828-ADAD-4E9F-B44A-C4CC9CB43678}" filter="1" showAutoFilter="1">
      <autoFilter ref="$Q$5"/>
    </customSheetView>
    <customSheetView guid="{41EC89E4-EEB1-42F9-9D42-62D67780E2D1}" filter="1" showAutoFilter="1">
      <autoFilter ref="$A$8:$R$95">
        <filterColumn colId="11">
          <filters blank="1">
            <filter val="No"/>
          </filters>
        </filterColumn>
      </autoFilter>
    </customSheetView>
    <customSheetView guid="{88D6F7E3-A77D-4A4A-B3FA-3E0E2F352DBE}" filter="1" showAutoFilter="1">
      <autoFilter ref="$Q$1:$Q$3"/>
    </customSheetView>
    <customSheetView guid="{03BA606A-9EF1-488F-B5B6-5F234A109122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B995BA34-E10D-40AF-AA8C-B5692B2826B5}" filter="1" showAutoFilter="1">
      <autoFilter ref="$A$8:$L$95">
        <filterColumn colId="11">
          <filters/>
        </filterColumn>
      </autoFilter>
    </customSheetView>
    <customSheetView guid="{4B942B8B-C855-402E-B1CA-C99DA2CDE73C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F8C118C5-118F-4E9B-9306-7A818040F34B}" filter="1" showAutoFilter="1">
      <autoFilter ref="$O$3"/>
    </customSheetView>
    <customSheetView guid="{4CDEB16D-957F-46E0-B073-82BA58078811}" filter="1" showAutoFilter="1">
      <autoFilter ref="$A$8:$T$95"/>
    </customSheetView>
    <customSheetView guid="{8D321D32-C538-4F99-A133-732AA9E194E7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  <customSheetView guid="{F79953EE-21CA-4328-B7CE-2E5232C4758F}" filter="1" showAutoFilter="1">
      <autoFilter ref="$A$8:$R$95"/>
    </customSheetView>
    <customSheetView guid="{BE7EE906-3AC6-489B-8307-8DCF78AC4CC4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  <filterColumn colId="11">
          <filters blank="1">
            <filter val="No"/>
          </filters>
        </filterColumn>
      </autoFilter>
    </customSheetView>
    <customSheetView guid="{05E57482-DB48-400E-8515-A1E7600ACD40}" filter="1" showAutoFilter="1">
      <autoFilter ref="$Q$1"/>
    </customSheetView>
    <customSheetView guid="{26145B14-D411-4703-A550-BC4D66DDB855}" filter="1" showAutoFilter="1">
      <autoFilter ref="$A$8:$R$95"/>
    </customSheetView>
    <customSheetView guid="{59693195-0373-46FB-A9CA-38C62EF18CBE}" filter="1" showAutoFilter="1">
      <autoFilter ref="$A$8:$R$95">
        <filterColumn colId="17">
          <filters blank="1">
            <filter val="Page not opening; user name, password not provided"/>
            <filter val="Does Not Become Center"/>
            <filter val="Do Not Want To Become Examination Centres"/>
            <filter val="Local IP; no answer"/>
            <filter val="Local IP; will provide tomorrow"/>
            <filter val="Page not opening"/>
            <filter val="re congiuration"/>
            <filter val="1036"/>
            <filter val="IP not provided; will share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Incorrect IP"/>
            <filter val="REQUEST TIME OUT(STATIC IP)"/>
            <filter val="Local IP"/>
            <filter val="Details not given"/>
          </filters>
        </filterColumn>
      </autoFilter>
    </customSheetView>
  </customSheetViews>
  <dataValidations>
    <dataValidation type="list" allowBlank="1" sqref="L9:L95">
      <formula1>"Yes,No"</formula1>
    </dataValidation>
  </dataValidations>
  <hyperlinks>
    <hyperlink r:id="rId1" ref="N57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23.75"/>
    <col customWidth="1" min="5" max="5" width="77.75"/>
    <col hidden="1" min="6" max="6" width="12.63"/>
    <col customWidth="1" hidden="1" min="7" max="7" width="23.0"/>
    <col hidden="1" min="8" max="8" width="12.63"/>
    <col customWidth="1" hidden="1" min="9" max="9" width="22.5"/>
    <col customWidth="1" hidden="1" min="10" max="10" width="18.38"/>
    <col customWidth="1" min="11" max="11" width="12.5"/>
    <col customWidth="1" hidden="1" min="12" max="12" width="17.38"/>
    <col customWidth="1" hidden="1" min="13" max="14" width="26.0"/>
    <col customWidth="1" hidden="1" min="15" max="15" width="18.25"/>
    <col customWidth="1" hidden="1" min="16" max="16" width="17.13"/>
    <col customWidth="1" hidden="1" min="17" max="17" width="102.63"/>
  </cols>
  <sheetData>
    <row r="1">
      <c r="A1" s="1"/>
      <c r="B1" s="1"/>
      <c r="D1" s="226" t="s">
        <v>1474</v>
      </c>
      <c r="E1" s="227" t="s">
        <v>1399</v>
      </c>
      <c r="F1" s="1"/>
      <c r="G1" s="1"/>
      <c r="H1" s="234"/>
      <c r="I1" s="1"/>
      <c r="J1" s="228"/>
      <c r="L1" s="229"/>
      <c r="M1" s="229"/>
      <c r="N1" s="229"/>
      <c r="O1" s="229"/>
      <c r="P1" s="229">
        <v>529.0</v>
      </c>
      <c r="Q1" s="229"/>
    </row>
    <row r="2" hidden="1">
      <c r="A2" s="6" t="s">
        <v>0</v>
      </c>
      <c r="B2" s="231"/>
      <c r="C2" s="231"/>
      <c r="D2" s="231"/>
      <c r="E2" s="232"/>
      <c r="F2" s="1"/>
      <c r="G2" s="1"/>
      <c r="H2" s="234"/>
      <c r="I2" s="1"/>
      <c r="J2" s="228"/>
      <c r="K2" s="234"/>
      <c r="L2" s="229"/>
      <c r="M2" s="229"/>
      <c r="N2" s="229"/>
      <c r="O2" s="229"/>
      <c r="P2" s="229"/>
      <c r="Q2" s="229"/>
    </row>
    <row r="3">
      <c r="A3" s="280"/>
      <c r="B3" s="236"/>
      <c r="C3" s="236"/>
      <c r="D3" s="236"/>
      <c r="E3" s="237"/>
      <c r="F3" s="9"/>
      <c r="G3" s="9"/>
      <c r="H3" s="234"/>
      <c r="I3" s="9"/>
      <c r="J3" s="228"/>
      <c r="K3" s="234"/>
      <c r="L3" s="229"/>
      <c r="M3" s="229"/>
      <c r="N3" s="229"/>
      <c r="O3" s="229"/>
      <c r="P3" s="229"/>
      <c r="Q3" s="229"/>
    </row>
    <row r="4">
      <c r="A4" s="9"/>
      <c r="B4" s="240"/>
      <c r="C4" s="240"/>
      <c r="D4" s="240"/>
      <c r="E4" s="241"/>
      <c r="F4" s="9"/>
      <c r="G4" s="9"/>
      <c r="H4" s="234"/>
      <c r="I4" s="9"/>
      <c r="J4" s="228"/>
      <c r="K4" s="234"/>
      <c r="L4" s="229" t="s">
        <v>1</v>
      </c>
      <c r="M4" s="229"/>
      <c r="N4" s="229"/>
      <c r="O4" s="229"/>
      <c r="P4" s="229"/>
      <c r="Q4" s="229"/>
    </row>
    <row r="5" hidden="1">
      <c r="A5" s="12" t="s">
        <v>2</v>
      </c>
      <c r="B5" s="12" t="s">
        <v>3</v>
      </c>
      <c r="C5" s="12"/>
      <c r="D5" s="12"/>
      <c r="E5" s="243" t="s">
        <v>1413</v>
      </c>
      <c r="F5" s="12" t="s">
        <v>5</v>
      </c>
      <c r="G5" s="12" t="s">
        <v>5</v>
      </c>
      <c r="H5" s="397"/>
      <c r="I5" s="12"/>
      <c r="J5" s="244"/>
      <c r="K5" s="234"/>
      <c r="L5" s="229"/>
      <c r="M5" s="245"/>
      <c r="N5" s="246"/>
      <c r="O5" s="229"/>
      <c r="P5" s="229"/>
      <c r="Q5" s="229"/>
    </row>
    <row r="6" hidden="1">
      <c r="A6" s="17">
        <v>802.0</v>
      </c>
      <c r="B6" s="18">
        <v>588.0</v>
      </c>
      <c r="C6" s="18"/>
      <c r="D6" s="18"/>
      <c r="E6" s="247">
        <f>countif(F9:F590,"Yes")</f>
        <v>541</v>
      </c>
      <c r="F6" s="248">
        <f t="shared" ref="F6:G6" si="1">countif($K$9:$K$593,"Yes")</f>
        <v>505</v>
      </c>
      <c r="G6" s="248">
        <f t="shared" si="1"/>
        <v>505</v>
      </c>
      <c r="H6" s="397"/>
      <c r="I6" s="18"/>
      <c r="J6" s="244"/>
      <c r="K6" s="234"/>
      <c r="L6" s="229"/>
      <c r="M6" s="229"/>
      <c r="N6" s="229"/>
      <c r="O6" s="229"/>
      <c r="P6" s="229"/>
      <c r="Q6" s="229"/>
    </row>
    <row r="7" hidden="1">
      <c r="A7" s="20"/>
      <c r="B7" s="21"/>
      <c r="C7" s="250"/>
      <c r="D7" s="250"/>
      <c r="E7" s="251"/>
      <c r="F7" s="250"/>
      <c r="G7" s="250"/>
      <c r="H7" s="281"/>
      <c r="I7" s="250"/>
      <c r="J7" s="253"/>
      <c r="K7" s="248">
        <f>countif(K9:K593,"Yes")</f>
        <v>505</v>
      </c>
      <c r="L7" s="254"/>
      <c r="M7" s="254"/>
      <c r="N7" s="254"/>
      <c r="O7" s="254"/>
      <c r="P7" s="254"/>
      <c r="Q7" s="254"/>
    </row>
    <row r="8">
      <c r="A8" s="26" t="s">
        <v>6</v>
      </c>
      <c r="B8" s="27" t="s">
        <v>6</v>
      </c>
      <c r="C8" s="255" t="s">
        <v>1324</v>
      </c>
      <c r="D8" s="255" t="s">
        <v>6</v>
      </c>
      <c r="E8" s="256" t="s">
        <v>1325</v>
      </c>
      <c r="F8" s="255" t="s">
        <v>7</v>
      </c>
      <c r="G8" s="255" t="s">
        <v>8</v>
      </c>
      <c r="H8" s="255" t="s">
        <v>8</v>
      </c>
      <c r="I8" s="255" t="s">
        <v>8</v>
      </c>
      <c r="J8" s="257" t="s">
        <v>11</v>
      </c>
      <c r="K8" s="255" t="s">
        <v>12</v>
      </c>
      <c r="L8" s="243" t="s">
        <v>13</v>
      </c>
      <c r="M8" s="243" t="s">
        <v>14</v>
      </c>
      <c r="N8" s="243" t="s">
        <v>15</v>
      </c>
      <c r="O8" s="243" t="s">
        <v>16</v>
      </c>
      <c r="P8" s="243" t="s">
        <v>17</v>
      </c>
      <c r="Q8" s="243" t="s">
        <v>18</v>
      </c>
    </row>
    <row r="9" hidden="1">
      <c r="A9" s="33">
        <v>362.0</v>
      </c>
      <c r="B9" s="34">
        <v>362.0</v>
      </c>
      <c r="C9" s="289">
        <v>1.0</v>
      </c>
      <c r="D9" s="398" t="str">
        <f>IFERROR(__xludf.DUMMYFUNCTION("if(B9&lt;=999,if(B9&lt;=99,IF(B9&lt;=9,join(,""000"",B9),join(,""00"",B9)),join(,""0"",B9)),B9)"),"0362")</f>
        <v>0362</v>
      </c>
      <c r="E9" s="296" t="s">
        <v>19</v>
      </c>
      <c r="F9" s="289" t="s">
        <v>20</v>
      </c>
      <c r="G9" s="289" t="str">
        <f t="shared" ref="G9:G12" si="2">VLOOKUP(D9,'Copy of Form Responses; CCTV Infra 1'!$G$2:$I$675,2,false)</f>
        <v>#REF!</v>
      </c>
      <c r="H9" s="399" t="s">
        <v>21</v>
      </c>
      <c r="I9" s="289" t="str">
        <f t="shared" ref="I9:I12" si="3">VLOOKUP(D9,'Copy of Form Responses; CCTV Infra 1'!$G$2:$I$675,3,false)</f>
        <v>#REF!</v>
      </c>
      <c r="J9" s="400" t="s">
        <v>22</v>
      </c>
      <c r="K9" s="290" t="s">
        <v>20</v>
      </c>
      <c r="L9" s="401" t="s">
        <v>23</v>
      </c>
      <c r="M9" s="401" t="s">
        <v>24</v>
      </c>
      <c r="N9" s="401">
        <v>80.0</v>
      </c>
      <c r="O9" s="401" t="s">
        <v>25</v>
      </c>
      <c r="P9" s="401" t="s">
        <v>26</v>
      </c>
      <c r="Q9" s="402" t="s">
        <v>1330</v>
      </c>
    </row>
    <row r="10" hidden="1">
      <c r="A10" s="33">
        <v>1001.0</v>
      </c>
      <c r="B10" s="34">
        <v>1001.0</v>
      </c>
      <c r="C10" s="289">
        <v>2.0</v>
      </c>
      <c r="D10" s="289">
        <f>IFERROR(__xludf.DUMMYFUNCTION("if(B10&lt;=999,if(B10&lt;=99,IF(B10&lt;=9,join(,""000"",B10),join(,""00"",B10)),join(,""0"",B10)),B10)"),1001.0)</f>
        <v>1001</v>
      </c>
      <c r="E10" s="296" t="s">
        <v>27</v>
      </c>
      <c r="F10" s="289" t="s">
        <v>20</v>
      </c>
      <c r="G10" s="289" t="str">
        <f t="shared" si="2"/>
        <v>#REF!</v>
      </c>
      <c r="H10" s="399" t="s">
        <v>21</v>
      </c>
      <c r="I10" s="289" t="str">
        <f t="shared" si="3"/>
        <v>#REF!</v>
      </c>
      <c r="J10" s="400" t="s">
        <v>22</v>
      </c>
      <c r="K10" s="290" t="s">
        <v>20</v>
      </c>
      <c r="L10" s="401" t="s">
        <v>28</v>
      </c>
      <c r="M10" s="291" t="s">
        <v>29</v>
      </c>
      <c r="N10" s="401" t="s">
        <v>30</v>
      </c>
      <c r="O10" s="401" t="s">
        <v>25</v>
      </c>
      <c r="P10" s="291" t="s">
        <v>31</v>
      </c>
      <c r="Q10" s="402" t="s">
        <v>1330</v>
      </c>
    </row>
    <row r="11" hidden="1">
      <c r="A11" s="33">
        <v>1120.0</v>
      </c>
      <c r="B11" s="34">
        <v>1120.0</v>
      </c>
      <c r="C11" s="289"/>
      <c r="D11" s="403">
        <f>IFERROR(__xludf.DUMMYFUNCTION("if(B11&lt;=999,if(B11&lt;=99,IF(B11&lt;=9,join(,""000"",B11),join(,""00"",B11)),join(,""0"",B11)),B11)"),1120.0)</f>
        <v>1120</v>
      </c>
      <c r="E11" s="297" t="s">
        <v>33</v>
      </c>
      <c r="F11" s="289" t="s">
        <v>20</v>
      </c>
      <c r="G11" s="289" t="str">
        <f t="shared" si="2"/>
        <v>#REF!</v>
      </c>
      <c r="H11" s="399" t="s">
        <v>21</v>
      </c>
      <c r="I11" s="289" t="str">
        <f t="shared" si="3"/>
        <v>#REF!</v>
      </c>
      <c r="J11" s="400" t="s">
        <v>34</v>
      </c>
      <c r="K11" s="290" t="s">
        <v>20</v>
      </c>
      <c r="L11" s="329" t="s">
        <v>330</v>
      </c>
      <c r="M11" s="266" t="s">
        <v>1414</v>
      </c>
      <c r="N11" s="401"/>
      <c r="O11" s="266" t="s">
        <v>25</v>
      </c>
      <c r="P11" s="266" t="s">
        <v>1475</v>
      </c>
      <c r="Q11" s="402" t="s">
        <v>1330</v>
      </c>
    </row>
    <row r="12" hidden="1">
      <c r="A12" s="33">
        <v>222.0</v>
      </c>
      <c r="B12" s="34">
        <v>222.0</v>
      </c>
      <c r="C12" s="289"/>
      <c r="D12" s="289" t="str">
        <f>IFERROR(__xludf.DUMMYFUNCTION("if(B12&lt;=999,if(B12&lt;=99,IF(B12&lt;=9,join(,""000"",B12),join(,""00"",B12)),join(,""0"",B12)),B12)"),"0222")</f>
        <v>0222</v>
      </c>
      <c r="E12" s="297" t="s">
        <v>40</v>
      </c>
      <c r="F12" s="289" t="s">
        <v>20</v>
      </c>
      <c r="G12" s="289" t="str">
        <f t="shared" si="2"/>
        <v>#REF!</v>
      </c>
      <c r="H12" s="399" t="s">
        <v>21</v>
      </c>
      <c r="I12" s="289" t="str">
        <f t="shared" si="3"/>
        <v>#REF!</v>
      </c>
      <c r="J12" s="400" t="s">
        <v>41</v>
      </c>
      <c r="K12" s="290" t="s">
        <v>20</v>
      </c>
      <c r="L12" s="401" t="s">
        <v>48</v>
      </c>
      <c r="M12" s="329" t="s">
        <v>1415</v>
      </c>
      <c r="N12" s="401" t="s">
        <v>42</v>
      </c>
      <c r="O12" s="329" t="s">
        <v>25</v>
      </c>
      <c r="P12" s="329" t="s">
        <v>86</v>
      </c>
      <c r="Q12" s="402" t="s">
        <v>1330</v>
      </c>
    </row>
    <row r="13" hidden="1">
      <c r="A13" s="33">
        <v>417.0</v>
      </c>
      <c r="B13" s="34">
        <v>417.0</v>
      </c>
      <c r="C13" s="289"/>
      <c r="D13" s="289" t="str">
        <f>IFERROR(__xludf.DUMMYFUNCTION("if(B13&lt;=999,if(B13&lt;=99,IF(B13&lt;=9,join(,""000"",B13),join(,""00"",B13)),join(,""0"",B13)),B13)"),"0417")</f>
        <v>0417</v>
      </c>
      <c r="E13" s="297" t="s">
        <v>44</v>
      </c>
      <c r="F13" s="289" t="s">
        <v>20</v>
      </c>
      <c r="G13" s="289" t="s">
        <v>1476</v>
      </c>
      <c r="H13" s="399" t="s">
        <v>21</v>
      </c>
      <c r="I13" s="289" t="s">
        <v>1477</v>
      </c>
      <c r="J13" s="404"/>
      <c r="K13" s="290" t="s">
        <v>20</v>
      </c>
      <c r="L13" s="401" t="s">
        <v>48</v>
      </c>
      <c r="M13" s="401" t="s">
        <v>1416</v>
      </c>
      <c r="N13" s="401" t="e">
        <v>#N/A</v>
      </c>
      <c r="O13" s="401" t="s">
        <v>1417</v>
      </c>
      <c r="P13" s="401" t="s">
        <v>1418</v>
      </c>
      <c r="Q13" s="402" t="s">
        <v>1330</v>
      </c>
    </row>
    <row r="14" hidden="1">
      <c r="A14" s="33">
        <v>884.0</v>
      </c>
      <c r="B14" s="34">
        <v>884.0</v>
      </c>
      <c r="C14" s="289"/>
      <c r="D14" s="289" t="str">
        <f>IFERROR(__xludf.DUMMYFUNCTION("if(B14&lt;=999,if(B14&lt;=99,IF(B14&lt;=9,join(,""000"",B14),join(,""00"",B14)),join(,""0"",B14)),B14)"),"0884")</f>
        <v>0884</v>
      </c>
      <c r="E14" s="297" t="s">
        <v>45</v>
      </c>
      <c r="F14" s="289" t="s">
        <v>20</v>
      </c>
      <c r="G14" s="289" t="s">
        <v>1476</v>
      </c>
      <c r="H14" s="399" t="s">
        <v>21</v>
      </c>
      <c r="I14" s="289" t="s">
        <v>1477</v>
      </c>
      <c r="J14" s="400" t="s">
        <v>1478</v>
      </c>
      <c r="K14" s="290" t="s">
        <v>20</v>
      </c>
      <c r="L14" s="401" t="s">
        <v>48</v>
      </c>
      <c r="M14" s="401" t="s">
        <v>1416</v>
      </c>
      <c r="N14" s="401" t="e">
        <v>#N/A</v>
      </c>
      <c r="O14" s="401" t="s">
        <v>1417</v>
      </c>
      <c r="P14" s="401" t="s">
        <v>1418</v>
      </c>
      <c r="Q14" s="402" t="s">
        <v>1330</v>
      </c>
    </row>
    <row r="15" hidden="1">
      <c r="A15" s="45">
        <v>1285.0</v>
      </c>
      <c r="B15" s="45">
        <v>1285.0</v>
      </c>
      <c r="C15" s="298">
        <v>3.0</v>
      </c>
      <c r="D15" s="298">
        <f>IFERROR(__xludf.DUMMYFUNCTION("if(B15&lt;=999,if(B15&lt;=99,IF(B15&lt;=9,join(,""000"",B15),join(,""00"",B15)),join(,""0"",B15)),B15)"),1285.0)</f>
        <v>1285</v>
      </c>
      <c r="E15" s="299" t="s">
        <v>47</v>
      </c>
      <c r="F15" s="298" t="s">
        <v>20</v>
      </c>
      <c r="G15" s="298" t="str">
        <f t="shared" ref="G15:G20" si="4">VLOOKUP(D15,'Copy of Form Responses; CCTV Infra 1'!$G$2:$I$675,2,false)</f>
        <v>#REF!</v>
      </c>
      <c r="H15" s="298" t="s">
        <v>21</v>
      </c>
      <c r="I15" s="298" t="str">
        <f t="shared" ref="I15:I20" si="5">VLOOKUP(D15,'Copy of Form Responses; CCTV Infra 1'!$G$2:$I$675,3,false)</f>
        <v>#REF!</v>
      </c>
      <c r="J15" s="405" t="s">
        <v>22</v>
      </c>
      <c r="K15" s="406" t="s">
        <v>20</v>
      </c>
      <c r="L15" s="407" t="s">
        <v>48</v>
      </c>
      <c r="M15" s="407" t="s">
        <v>49</v>
      </c>
      <c r="N15" s="407">
        <v>16.0</v>
      </c>
      <c r="O15" s="407" t="s">
        <v>25</v>
      </c>
      <c r="P15" s="407">
        <v>654321.0</v>
      </c>
      <c r="Q15" s="407" t="s">
        <v>1330</v>
      </c>
    </row>
    <row r="16" hidden="1">
      <c r="A16" s="33">
        <v>1220.0</v>
      </c>
      <c r="B16" s="34">
        <v>1220.0</v>
      </c>
      <c r="C16" s="289">
        <v>4.0</v>
      </c>
      <c r="D16" s="289">
        <f>IFERROR(__xludf.DUMMYFUNCTION("if(B16&lt;=999,if(B16&lt;=99,IF(B16&lt;=9,join(,""000"",B16),join(,""00"",B16)),join(,""0"",B16)),B16)"),1220.0)</f>
        <v>1220</v>
      </c>
      <c r="E16" s="296" t="s">
        <v>51</v>
      </c>
      <c r="F16" s="289" t="s">
        <v>20</v>
      </c>
      <c r="G16" s="289" t="str">
        <f t="shared" si="4"/>
        <v>#REF!</v>
      </c>
      <c r="H16" s="399" t="s">
        <v>21</v>
      </c>
      <c r="I16" s="289" t="str">
        <f t="shared" si="5"/>
        <v>#REF!</v>
      </c>
      <c r="J16" s="400" t="s">
        <v>22</v>
      </c>
      <c r="K16" s="290" t="s">
        <v>20</v>
      </c>
      <c r="L16" s="401" t="s">
        <v>48</v>
      </c>
      <c r="M16" s="401" t="s">
        <v>52</v>
      </c>
      <c r="N16" s="401" t="s">
        <v>53</v>
      </c>
      <c r="O16" s="401" t="s">
        <v>54</v>
      </c>
      <c r="P16" s="401" t="s">
        <v>55</v>
      </c>
      <c r="Q16" s="407" t="s">
        <v>1330</v>
      </c>
    </row>
    <row r="17" hidden="1">
      <c r="A17" s="33">
        <v>55.0</v>
      </c>
      <c r="B17" s="34">
        <v>55.0</v>
      </c>
      <c r="C17" s="289">
        <v>5.0</v>
      </c>
      <c r="D17" s="289" t="str">
        <f>IFERROR(__xludf.DUMMYFUNCTION("if(B17&lt;=999,if(B17&lt;=99,IF(B17&lt;=9,join(,""000"",B17),join(,""00"",B17)),join(,""0"",B17)),B17)"),"0055")</f>
        <v>0055</v>
      </c>
      <c r="E17" s="296" t="s">
        <v>57</v>
      </c>
      <c r="F17" s="289" t="s">
        <v>20</v>
      </c>
      <c r="G17" s="289" t="str">
        <f t="shared" si="4"/>
        <v>#REF!</v>
      </c>
      <c r="H17" s="399" t="s">
        <v>21</v>
      </c>
      <c r="I17" s="289" t="str">
        <f t="shared" si="5"/>
        <v>#REF!</v>
      </c>
      <c r="J17" s="400" t="s">
        <v>1478</v>
      </c>
      <c r="K17" s="290" t="s">
        <v>20</v>
      </c>
      <c r="L17" s="401" t="s">
        <v>48</v>
      </c>
      <c r="M17" s="401" t="s">
        <v>1419</v>
      </c>
      <c r="N17" s="401">
        <v>37777.0</v>
      </c>
      <c r="O17" s="401" t="s">
        <v>25</v>
      </c>
      <c r="P17" s="401" t="s">
        <v>55</v>
      </c>
      <c r="Q17" s="407" t="s">
        <v>1330</v>
      </c>
    </row>
    <row r="18" hidden="1">
      <c r="A18" s="51">
        <v>223.0</v>
      </c>
      <c r="B18" s="51">
        <v>223.0</v>
      </c>
      <c r="C18" s="298">
        <v>6.0</v>
      </c>
      <c r="D18" s="289" t="str">
        <f>IFERROR(__xludf.DUMMYFUNCTION("if(B18&lt;=999,if(B18&lt;=99,IF(B18&lt;=9,join(,""000"",B18),join(,""00"",B18)),join(,""0"",B18)),B18)"),"0223")</f>
        <v>0223</v>
      </c>
      <c r="E18" s="301" t="s">
        <v>59</v>
      </c>
      <c r="F18" s="325" t="s">
        <v>20</v>
      </c>
      <c r="G18" s="289" t="str">
        <f t="shared" si="4"/>
        <v>#REF!</v>
      </c>
      <c r="H18" s="408" t="s">
        <v>21</v>
      </c>
      <c r="I18" s="289" t="str">
        <f t="shared" si="5"/>
        <v>#REF!</v>
      </c>
      <c r="J18" s="400" t="s">
        <v>60</v>
      </c>
      <c r="K18" s="328" t="s">
        <v>20</v>
      </c>
      <c r="L18" s="329" t="s">
        <v>48</v>
      </c>
      <c r="M18" s="409" t="s">
        <v>1419</v>
      </c>
      <c r="N18" s="401">
        <v>2902.0</v>
      </c>
      <c r="O18" s="329" t="s">
        <v>25</v>
      </c>
      <c r="P18" s="329" t="s">
        <v>55</v>
      </c>
      <c r="Q18" s="407" t="s">
        <v>1330</v>
      </c>
    </row>
    <row r="19" hidden="1">
      <c r="A19" s="51">
        <v>1067.0</v>
      </c>
      <c r="B19" s="51">
        <v>1067.0</v>
      </c>
      <c r="C19" s="289">
        <v>7.0</v>
      </c>
      <c r="D19" s="289">
        <f>IFERROR(__xludf.DUMMYFUNCTION("if(B19&lt;=999,if(B19&lt;=99,IF(B19&lt;=9,join(,""000"",B19),join(,""00"",B19)),join(,""0"",B19)),B19)"),1067.0)</f>
        <v>1067</v>
      </c>
      <c r="E19" s="301" t="s">
        <v>62</v>
      </c>
      <c r="F19" s="325" t="s">
        <v>20</v>
      </c>
      <c r="G19" s="289" t="str">
        <f t="shared" si="4"/>
        <v>#REF!</v>
      </c>
      <c r="H19" s="408" t="s">
        <v>21</v>
      </c>
      <c r="I19" s="289" t="str">
        <f t="shared" si="5"/>
        <v>#REF!</v>
      </c>
      <c r="J19" s="400" t="s">
        <v>63</v>
      </c>
      <c r="K19" s="328" t="s">
        <v>20</v>
      </c>
      <c r="L19" s="329" t="s">
        <v>28</v>
      </c>
      <c r="M19" s="329" t="s">
        <v>1420</v>
      </c>
      <c r="N19" s="401">
        <v>16.0</v>
      </c>
      <c r="O19" s="329" t="s">
        <v>25</v>
      </c>
      <c r="P19" s="329" t="s">
        <v>65</v>
      </c>
      <c r="Q19" s="407" t="s">
        <v>1330</v>
      </c>
    </row>
    <row r="20">
      <c r="A20" s="51">
        <v>1069.0</v>
      </c>
      <c r="B20" s="51">
        <v>1069.0</v>
      </c>
      <c r="C20" s="260">
        <v>1.0</v>
      </c>
      <c r="D20" s="260">
        <f>IFERROR(__xludf.DUMMYFUNCTION("if(B20&lt;=999,if(B20&lt;=99,IF(B20&lt;=9,join(,""000"",B20),join(,""00"",B20)),join(,""0"",B20)),B20)"),1069.0)</f>
        <v>1069</v>
      </c>
      <c r="E20" s="270" t="s">
        <v>1119</v>
      </c>
      <c r="F20" s="260" t="s">
        <v>20</v>
      </c>
      <c r="G20" s="260" t="str">
        <f t="shared" si="4"/>
        <v>#REF!</v>
      </c>
      <c r="H20" s="410" t="s">
        <v>21</v>
      </c>
      <c r="I20" s="260" t="str">
        <f t="shared" si="5"/>
        <v>#REF!</v>
      </c>
      <c r="J20" s="264" t="s">
        <v>77</v>
      </c>
      <c r="K20" s="411" t="str">
        <f>vlookup(D20,'Elligible Training Institutes R'!$D$9:$L$19,9,false)</f>
        <v>#N/A</v>
      </c>
      <c r="L20" s="329"/>
      <c r="M20" s="329"/>
      <c r="N20" s="401">
        <v>80.0</v>
      </c>
      <c r="O20" s="329"/>
      <c r="P20" s="329"/>
      <c r="Q20" s="412" t="s">
        <v>1421</v>
      </c>
    </row>
    <row r="21" hidden="1">
      <c r="A21" s="51">
        <v>29.0</v>
      </c>
      <c r="B21" s="51">
        <v>29.0</v>
      </c>
      <c r="C21" s="289"/>
      <c r="D21" s="403" t="str">
        <f>IFERROR(__xludf.DUMMYFUNCTION("if(B21&lt;=999,if(B21&lt;=99,IF(B21&lt;=9,join(,""000"",B21),join(,""00"",B21)),join(,""0"",B21)),B21)"),"0029")</f>
        <v>0029</v>
      </c>
      <c r="E21" s="326" t="s">
        <v>828</v>
      </c>
      <c r="F21" s="325" t="s">
        <v>20</v>
      </c>
      <c r="G21" s="289" t="s">
        <v>1479</v>
      </c>
      <c r="H21" s="408" t="s">
        <v>21</v>
      </c>
      <c r="I21" s="289" t="s">
        <v>1480</v>
      </c>
      <c r="J21" s="413" t="s">
        <v>99</v>
      </c>
      <c r="K21" s="328" t="s">
        <v>20</v>
      </c>
      <c r="L21" s="329" t="s">
        <v>137</v>
      </c>
      <c r="M21" s="329" t="s">
        <v>1481</v>
      </c>
      <c r="N21" s="401">
        <v>25001.0</v>
      </c>
      <c r="O21" s="329" t="s">
        <v>518</v>
      </c>
      <c r="P21" s="329" t="s">
        <v>830</v>
      </c>
      <c r="Q21" s="407" t="s">
        <v>1330</v>
      </c>
    </row>
    <row r="22" hidden="1">
      <c r="A22" s="51">
        <v>1211.0</v>
      </c>
      <c r="B22" s="51">
        <v>1211.0</v>
      </c>
      <c r="C22" s="289"/>
      <c r="D22" s="289">
        <f>IFERROR(__xludf.DUMMYFUNCTION("if(B22&lt;=999,if(B22&lt;=99,IF(B22&lt;=9,join(,""000"",B22),join(,""00"",B22)),join(,""0"",B22)),B22)"),1211.0)</f>
        <v>1211</v>
      </c>
      <c r="E22" s="326" t="s">
        <v>69</v>
      </c>
      <c r="F22" s="325" t="s">
        <v>20</v>
      </c>
      <c r="G22" s="289" t="str">
        <f>VLOOKUP(D22,'Copy of Form Responses; CCTV Infra 1'!$G$2:$I$675,2,false)</f>
        <v>#REF!</v>
      </c>
      <c r="H22" s="408" t="s">
        <v>21</v>
      </c>
      <c r="I22" s="289" t="str">
        <f>VLOOKUP(D22,'Copy of Form Responses; CCTV Infra 1'!$G$2:$I$675,3,false)</f>
        <v>#REF!</v>
      </c>
      <c r="J22" s="400" t="s">
        <v>60</v>
      </c>
      <c r="K22" s="328" t="s">
        <v>20</v>
      </c>
      <c r="L22" s="329" t="s">
        <v>28</v>
      </c>
      <c r="M22" s="329" t="s">
        <v>1482</v>
      </c>
      <c r="N22" s="401">
        <v>9500.0</v>
      </c>
      <c r="O22" s="329" t="s">
        <v>25</v>
      </c>
      <c r="P22" s="329" t="s">
        <v>55</v>
      </c>
      <c r="Q22" s="414" t="s">
        <v>1330</v>
      </c>
    </row>
    <row r="23" hidden="1">
      <c r="A23" s="51">
        <v>1031.0</v>
      </c>
      <c r="B23" s="51">
        <v>1031.0</v>
      </c>
      <c r="C23" s="289" t="s">
        <v>1007</v>
      </c>
      <c r="D23" s="403">
        <f>IFERROR(__xludf.DUMMYFUNCTION("if(B23&lt;=999,if(B23&lt;=99,IF(B23&lt;=9,join(,""000"",B23),join(,""00"",B23)),join(,""0"",B23)),B23)"),1031.0)</f>
        <v>1031</v>
      </c>
      <c r="E23" s="301" t="s">
        <v>71</v>
      </c>
      <c r="F23" s="325" t="s">
        <v>20</v>
      </c>
      <c r="G23" s="289" t="s">
        <v>1483</v>
      </c>
      <c r="H23" s="408" t="s">
        <v>21</v>
      </c>
      <c r="I23" s="289">
        <v>9.897467078E9</v>
      </c>
      <c r="J23" s="404"/>
      <c r="K23" s="328" t="s">
        <v>20</v>
      </c>
      <c r="L23" s="329" t="s">
        <v>330</v>
      </c>
      <c r="M23" s="329" t="s">
        <v>1484</v>
      </c>
      <c r="N23" s="401" t="e">
        <v>#N/A</v>
      </c>
      <c r="O23" s="329" t="s">
        <v>25</v>
      </c>
      <c r="P23" s="329" t="s">
        <v>86</v>
      </c>
      <c r="Q23" s="414" t="s">
        <v>1330</v>
      </c>
    </row>
    <row r="24" hidden="1">
      <c r="A24" s="51">
        <v>1082.0</v>
      </c>
      <c r="B24" s="51">
        <v>1082.0</v>
      </c>
      <c r="C24" s="289"/>
      <c r="D24" s="289">
        <f>IFERROR(__xludf.DUMMYFUNCTION("if(B24&lt;=999,if(B24&lt;=99,IF(B24&lt;=9,join(,""000"",B24),join(,""00"",B24)),join(,""0"",B24)),B24)"),1082.0)</f>
        <v>1082</v>
      </c>
      <c r="E24" s="326" t="s">
        <v>72</v>
      </c>
      <c r="F24" s="325" t="s">
        <v>20</v>
      </c>
      <c r="G24" s="289" t="s">
        <v>1485</v>
      </c>
      <c r="H24" s="408" t="s">
        <v>21</v>
      </c>
      <c r="I24" s="289">
        <v>9.529108354E9</v>
      </c>
      <c r="J24" s="400" t="s">
        <v>73</v>
      </c>
      <c r="K24" s="328" t="s">
        <v>20</v>
      </c>
      <c r="L24" s="329" t="s">
        <v>28</v>
      </c>
      <c r="M24" s="329" t="s">
        <v>1486</v>
      </c>
      <c r="N24" s="401">
        <v>16.0</v>
      </c>
      <c r="O24" s="329" t="s">
        <v>25</v>
      </c>
      <c r="P24" s="329" t="s">
        <v>65</v>
      </c>
      <c r="Q24" s="414" t="s">
        <v>1330</v>
      </c>
    </row>
    <row r="25" hidden="1">
      <c r="A25" s="324">
        <v>245.0</v>
      </c>
      <c r="B25" s="415">
        <v>245.0</v>
      </c>
      <c r="C25" s="416">
        <v>9.0</v>
      </c>
      <c r="D25" s="403" t="str">
        <f>IFERROR(__xludf.DUMMYFUNCTION("if(B25&lt;=999,if(B25&lt;=99,IF(B25&lt;=9,join(,""000"",B25),join(,""00"",B25)),join(,""0"",B25)),B25)"),"0245")</f>
        <v>0245</v>
      </c>
      <c r="E25" s="417" t="s">
        <v>74</v>
      </c>
      <c r="F25" s="418" t="s">
        <v>20</v>
      </c>
      <c r="G25" s="418" t="str">
        <f t="shared" ref="G25:G27" si="6">VLOOKUP(D25,'Copy of Form Responses; CCTV Infra 1'!$G$2:$I$675,2,false)</f>
        <v>#REF!</v>
      </c>
      <c r="H25" s="419" t="s">
        <v>21</v>
      </c>
      <c r="I25" s="418" t="str">
        <f t="shared" ref="I25:I27" si="7">VLOOKUP(D25,'Copy of Form Responses; CCTV Infra 1'!$G$2:$I$675,3,false)</f>
        <v>#REF!</v>
      </c>
      <c r="J25" s="420" t="s">
        <v>60</v>
      </c>
      <c r="K25" s="421" t="s">
        <v>20</v>
      </c>
      <c r="L25" s="422" t="s">
        <v>95</v>
      </c>
      <c r="M25" s="422" t="s">
        <v>1484</v>
      </c>
      <c r="N25" s="422">
        <v>123.0</v>
      </c>
      <c r="O25" s="422" t="s">
        <v>25</v>
      </c>
      <c r="P25" s="422" t="s">
        <v>86</v>
      </c>
      <c r="Q25" s="423" t="s">
        <v>1330</v>
      </c>
    </row>
    <row r="26" hidden="1">
      <c r="A26" s="33">
        <v>40.0</v>
      </c>
      <c r="B26" s="34">
        <v>40.0</v>
      </c>
      <c r="C26" s="289">
        <v>10.0</v>
      </c>
      <c r="D26" s="289" t="str">
        <f>IFERROR(__xludf.DUMMYFUNCTION("if(B26&lt;=999,if(B26&lt;=99,IF(B26&lt;=9,join(,""000"",B26),join(,""00"",B26)),join(,""0"",B26)),B26)"),"0040")</f>
        <v>0040</v>
      </c>
      <c r="E26" s="296" t="s">
        <v>76</v>
      </c>
      <c r="F26" s="289" t="s">
        <v>20</v>
      </c>
      <c r="G26" s="289" t="str">
        <f t="shared" si="6"/>
        <v>#REF!</v>
      </c>
      <c r="H26" s="399" t="s">
        <v>21</v>
      </c>
      <c r="I26" s="289" t="str">
        <f t="shared" si="7"/>
        <v>#REF!</v>
      </c>
      <c r="J26" s="400" t="s">
        <v>77</v>
      </c>
      <c r="K26" s="290" t="s">
        <v>20</v>
      </c>
      <c r="L26" s="401" t="s">
        <v>48</v>
      </c>
      <c r="M26" s="401" t="s">
        <v>78</v>
      </c>
      <c r="N26" s="401" t="s">
        <v>79</v>
      </c>
      <c r="O26" s="401" t="s">
        <v>80</v>
      </c>
      <c r="P26" s="401" t="s">
        <v>81</v>
      </c>
      <c r="Q26" s="407" t="s">
        <v>1330</v>
      </c>
    </row>
    <row r="27" hidden="1">
      <c r="A27" s="55">
        <v>39.0</v>
      </c>
      <c r="B27" s="55">
        <v>39.0</v>
      </c>
      <c r="C27" s="289">
        <v>11.0</v>
      </c>
      <c r="D27" s="424" t="str">
        <f>IFERROR(__xludf.DUMMYFUNCTION("if(B27&lt;=999,if(B27&lt;=99,IF(B27&lt;=9,join(,""000"",B27),join(,""00"",B27)),join(,""0"",B27)),B27)"),"0039")</f>
        <v>0039</v>
      </c>
      <c r="E27" s="425" t="s">
        <v>83</v>
      </c>
      <c r="F27" s="426" t="s">
        <v>20</v>
      </c>
      <c r="G27" s="298" t="str">
        <f t="shared" si="6"/>
        <v>#REF!</v>
      </c>
      <c r="H27" s="426" t="s">
        <v>21</v>
      </c>
      <c r="I27" s="298" t="str">
        <f t="shared" si="7"/>
        <v>#REF!</v>
      </c>
      <c r="J27" s="405" t="s">
        <v>22</v>
      </c>
      <c r="K27" s="427" t="s">
        <v>20</v>
      </c>
      <c r="L27" s="428" t="s">
        <v>84</v>
      </c>
      <c r="M27" s="428" t="s">
        <v>85</v>
      </c>
      <c r="N27" s="407">
        <v>20.0</v>
      </c>
      <c r="O27" s="429" t="s">
        <v>25</v>
      </c>
      <c r="P27" s="429" t="s">
        <v>86</v>
      </c>
      <c r="Q27" s="407" t="s">
        <v>1330</v>
      </c>
    </row>
    <row r="28" hidden="1">
      <c r="A28" s="45">
        <v>86.0</v>
      </c>
      <c r="B28" s="45">
        <v>86.0</v>
      </c>
      <c r="C28" s="298">
        <v>12.0</v>
      </c>
      <c r="D28" s="424" t="str">
        <f>IFERROR(__xludf.DUMMYFUNCTION("if(B28&lt;=999,if(B28&lt;=99,IF(B28&lt;=9,join(,""000"",B28),join(,""00"",B28)),join(,""0"",B28)),B28)"),"0086")</f>
        <v>0086</v>
      </c>
      <c r="E28" s="299" t="s">
        <v>88</v>
      </c>
      <c r="F28" s="298" t="s">
        <v>20</v>
      </c>
      <c r="G28" s="298" t="s">
        <v>1487</v>
      </c>
      <c r="H28" s="298" t="s">
        <v>21</v>
      </c>
      <c r="I28" s="298">
        <v>7.055439647E9</v>
      </c>
      <c r="J28" s="405" t="s">
        <v>22</v>
      </c>
      <c r="K28" s="406" t="s">
        <v>20</v>
      </c>
      <c r="L28" s="428" t="s">
        <v>84</v>
      </c>
      <c r="M28" s="428" t="s">
        <v>85</v>
      </c>
      <c r="N28" s="407" t="e">
        <v>#N/A</v>
      </c>
      <c r="O28" s="429" t="s">
        <v>25</v>
      </c>
      <c r="P28" s="428" t="s">
        <v>86</v>
      </c>
      <c r="Q28" s="268" t="s">
        <v>1330</v>
      </c>
    </row>
    <row r="29">
      <c r="A29" s="51">
        <v>59.0</v>
      </c>
      <c r="B29" s="51">
        <v>59.0</v>
      </c>
      <c r="C29" s="260">
        <v>2.0</v>
      </c>
      <c r="D29" s="260" t="str">
        <f>IFERROR(__xludf.DUMMYFUNCTION("if(B29&lt;=999,if(B29&lt;=99,IF(B29&lt;=9,join(,""000"",B29),join(,""00"",B29)),join(,""0"",B29)),B29)"),"0059")</f>
        <v>0059</v>
      </c>
      <c r="E29" s="270" t="s">
        <v>90</v>
      </c>
      <c r="F29" s="260" t="s">
        <v>35</v>
      </c>
      <c r="G29" s="260" t="str">
        <f t="shared" ref="G29:G33" si="8">VLOOKUP(D29,'Copy of Form Responses; CCTV Infra 1'!$G$2:$I$675,2,false)</f>
        <v>#REF!</v>
      </c>
      <c r="H29" s="410" t="s">
        <v>21</v>
      </c>
      <c r="I29" s="260" t="str">
        <f t="shared" ref="I29:I33" si="9">VLOOKUP(D29,'Copy of Form Responses; CCTV Infra 1'!$G$2:$I$675,3,false)</f>
        <v>#REF!</v>
      </c>
      <c r="J29" s="271"/>
      <c r="K29" s="411" t="str">
        <f>vlookup(D29,'Elligible Training Institutes R'!$D$9:$L$19,9,false)</f>
        <v>#N/A</v>
      </c>
      <c r="L29" s="329"/>
      <c r="M29" s="329"/>
      <c r="N29" s="401" t="e">
        <v>#N/A</v>
      </c>
      <c r="O29" s="329"/>
      <c r="P29" s="329"/>
      <c r="Q29" s="412" t="s">
        <v>1423</v>
      </c>
    </row>
    <row r="30" hidden="1">
      <c r="A30" s="51">
        <v>466.0</v>
      </c>
      <c r="B30" s="51">
        <v>466.0</v>
      </c>
      <c r="C30" s="289"/>
      <c r="D30" s="403" t="str">
        <f>IFERROR(__xludf.DUMMYFUNCTION("if(B30&lt;=999,if(B30&lt;=99,IF(B30&lt;=9,join(,""000"",B30),join(,""00"",B30)),join(,""0"",B30)),B30)"),"0466")</f>
        <v>0466</v>
      </c>
      <c r="E30" s="326" t="s">
        <v>91</v>
      </c>
      <c r="F30" s="325" t="s">
        <v>20</v>
      </c>
      <c r="G30" s="289" t="str">
        <f t="shared" si="8"/>
        <v>#REF!</v>
      </c>
      <c r="H30" s="408" t="s">
        <v>21</v>
      </c>
      <c r="I30" s="289" t="str">
        <f t="shared" si="9"/>
        <v>#REF!</v>
      </c>
      <c r="J30" s="400" t="s">
        <v>22</v>
      </c>
      <c r="K30" s="328" t="s">
        <v>20</v>
      </c>
      <c r="L30" s="329" t="s">
        <v>95</v>
      </c>
      <c r="M30" s="329" t="s">
        <v>1488</v>
      </c>
      <c r="N30" s="401">
        <v>80.0</v>
      </c>
      <c r="O30" s="329" t="s">
        <v>288</v>
      </c>
      <c r="P30" s="329" t="s">
        <v>163</v>
      </c>
      <c r="Q30" s="430" t="s">
        <v>1330</v>
      </c>
    </row>
    <row r="31" hidden="1">
      <c r="A31" s="51">
        <v>46.0</v>
      </c>
      <c r="B31" s="51">
        <v>46.0</v>
      </c>
      <c r="C31" s="289"/>
      <c r="D31" s="403" t="str">
        <f>IFERROR(__xludf.DUMMYFUNCTION("if(B31&lt;=999,if(B31&lt;=99,IF(B31&lt;=9,join(,""000"",B31),join(,""00"",B31)),join(,""0"",B31)),B31)"),"0046")</f>
        <v>0046</v>
      </c>
      <c r="E31" s="326" t="s">
        <v>92</v>
      </c>
      <c r="F31" s="325" t="s">
        <v>20</v>
      </c>
      <c r="G31" s="289" t="str">
        <f t="shared" si="8"/>
        <v>#REF!</v>
      </c>
      <c r="H31" s="408" t="s">
        <v>21</v>
      </c>
      <c r="I31" s="289" t="str">
        <f t="shared" si="9"/>
        <v>#REF!</v>
      </c>
      <c r="J31" s="400" t="s">
        <v>22</v>
      </c>
      <c r="K31" s="328" t="s">
        <v>20</v>
      </c>
      <c r="L31" s="430" t="s">
        <v>95</v>
      </c>
      <c r="M31" s="329" t="s">
        <v>1489</v>
      </c>
      <c r="N31" s="401"/>
      <c r="O31" s="329" t="s">
        <v>25</v>
      </c>
      <c r="P31" s="329" t="s">
        <v>55</v>
      </c>
      <c r="Q31" s="430" t="s">
        <v>1330</v>
      </c>
    </row>
    <row r="32" hidden="1">
      <c r="A32" s="431">
        <v>1088.0</v>
      </c>
      <c r="B32" s="431">
        <v>1088.0</v>
      </c>
      <c r="C32" s="432">
        <v>13.0</v>
      </c>
      <c r="D32" s="433">
        <f>IFERROR(__xludf.DUMMYFUNCTION("if(B32&lt;=999,if(B32&lt;=99,IF(B32&lt;=9,join(,""000"",B32),join(,""00"",B32)),join(,""0"",B32)),B32)"),1088.0)</f>
        <v>1088</v>
      </c>
      <c r="E32" s="434" t="s">
        <v>94</v>
      </c>
      <c r="F32" s="435" t="s">
        <v>20</v>
      </c>
      <c r="G32" s="435" t="str">
        <f t="shared" si="8"/>
        <v>#REF!</v>
      </c>
      <c r="H32" s="435" t="s">
        <v>21</v>
      </c>
      <c r="I32" s="435" t="str">
        <f t="shared" si="9"/>
        <v>#REF!</v>
      </c>
      <c r="J32" s="436" t="s">
        <v>77</v>
      </c>
      <c r="K32" s="437" t="s">
        <v>20</v>
      </c>
      <c r="L32" s="430" t="s">
        <v>95</v>
      </c>
      <c r="M32" s="430" t="s">
        <v>96</v>
      </c>
      <c r="N32" s="430">
        <v>8181.0</v>
      </c>
      <c r="O32" s="430" t="s">
        <v>25</v>
      </c>
      <c r="P32" s="430" t="s">
        <v>55</v>
      </c>
      <c r="Q32" s="430" t="s">
        <v>1330</v>
      </c>
    </row>
    <row r="33" hidden="1">
      <c r="A33" s="51">
        <v>347.0</v>
      </c>
      <c r="B33" s="51">
        <v>347.0</v>
      </c>
      <c r="C33" s="289"/>
      <c r="D33" s="398" t="str">
        <f>IFERROR(__xludf.DUMMYFUNCTION("if(B33&lt;=999,if(B33&lt;=99,IF(B33&lt;=9,join(,""000"",B33),join(,""00"",B33)),join(,""0"",B33)),B33)"),"0347")</f>
        <v>0347</v>
      </c>
      <c r="E33" s="326" t="s">
        <v>98</v>
      </c>
      <c r="F33" s="325" t="s">
        <v>20</v>
      </c>
      <c r="G33" s="289" t="str">
        <f t="shared" si="8"/>
        <v>#REF!</v>
      </c>
      <c r="H33" s="408" t="s">
        <v>21</v>
      </c>
      <c r="I33" s="289" t="str">
        <f t="shared" si="9"/>
        <v>#REF!</v>
      </c>
      <c r="J33" s="400" t="s">
        <v>99</v>
      </c>
      <c r="K33" s="328" t="s">
        <v>20</v>
      </c>
      <c r="L33" s="329" t="s">
        <v>23</v>
      </c>
      <c r="M33" s="329" t="s">
        <v>1490</v>
      </c>
      <c r="N33" s="401">
        <v>554.0</v>
      </c>
      <c r="O33" s="329" t="s">
        <v>25</v>
      </c>
      <c r="P33" s="329" t="s">
        <v>1491</v>
      </c>
      <c r="Q33" s="414" t="s">
        <v>1330</v>
      </c>
    </row>
    <row r="34" hidden="1">
      <c r="A34" s="51">
        <v>686.0</v>
      </c>
      <c r="B34" s="51">
        <v>686.0</v>
      </c>
      <c r="C34" s="260">
        <v>3.0</v>
      </c>
      <c r="D34" s="260" t="str">
        <f>IFERROR(__xludf.DUMMYFUNCTION("if(B34&lt;=999,if(B34&lt;=99,IF(B34&lt;=9,join(,""000"",B34),join(,""00"",B34)),join(,""0"",B34)),B34)"),"0686")</f>
        <v>0686</v>
      </c>
      <c r="E34" s="270" t="s">
        <v>831</v>
      </c>
      <c r="F34" s="260" t="s">
        <v>20</v>
      </c>
      <c r="G34" s="260" t="s">
        <v>1492</v>
      </c>
      <c r="H34" s="410" t="s">
        <v>21</v>
      </c>
      <c r="I34" s="260">
        <v>8.736999009E9</v>
      </c>
      <c r="J34" s="264" t="s">
        <v>99</v>
      </c>
      <c r="K34" s="265" t="s">
        <v>20</v>
      </c>
      <c r="L34" s="329" t="s">
        <v>1493</v>
      </c>
      <c r="M34" s="329" t="s">
        <v>1494</v>
      </c>
      <c r="N34" s="401" t="e">
        <v>#N/A</v>
      </c>
      <c r="O34" s="329" t="s">
        <v>1495</v>
      </c>
      <c r="P34" s="329" t="s">
        <v>830</v>
      </c>
      <c r="Q34" s="412" t="s">
        <v>1449</v>
      </c>
    </row>
    <row r="35" hidden="1">
      <c r="A35" s="33">
        <v>232.0</v>
      </c>
      <c r="B35" s="34">
        <v>232.0</v>
      </c>
      <c r="C35" s="289">
        <v>14.0</v>
      </c>
      <c r="D35" s="398" t="str">
        <f>IFERROR(__xludf.DUMMYFUNCTION("if(B35&lt;=999,if(B35&lt;=99,IF(B35&lt;=9,join(,""000"",B35),join(,""00"",B35)),join(,""0"",B35)),B35)"),"0232")</f>
        <v>0232</v>
      </c>
      <c r="E35" s="296" t="s">
        <v>105</v>
      </c>
      <c r="F35" s="289" t="s">
        <v>20</v>
      </c>
      <c r="G35" s="289" t="s">
        <v>1496</v>
      </c>
      <c r="H35" s="399" t="s">
        <v>21</v>
      </c>
      <c r="I35" s="289">
        <v>9.759986013E9</v>
      </c>
      <c r="J35" s="400" t="s">
        <v>1478</v>
      </c>
      <c r="K35" s="290" t="s">
        <v>20</v>
      </c>
      <c r="L35" s="401" t="s">
        <v>23</v>
      </c>
      <c r="M35" s="401" t="s">
        <v>1497</v>
      </c>
      <c r="N35" s="401" t="e">
        <v>#N/A</v>
      </c>
      <c r="O35" s="266" t="s">
        <v>25</v>
      </c>
      <c r="P35" s="266" t="s">
        <v>1498</v>
      </c>
      <c r="Q35" s="407" t="s">
        <v>1330</v>
      </c>
    </row>
    <row r="36" hidden="1">
      <c r="A36" s="51">
        <v>802.0</v>
      </c>
      <c r="B36" s="51">
        <v>802.0</v>
      </c>
      <c r="C36" s="298">
        <v>15.0</v>
      </c>
      <c r="D36" s="398" t="str">
        <f>IFERROR(__xludf.DUMMYFUNCTION("if(B36&lt;=999,if(B36&lt;=99,IF(B36&lt;=9,join(,""000"",B36),join(,""00"",B36)),join(,""0"",B36)),B36)"),"0802")</f>
        <v>0802</v>
      </c>
      <c r="E36" s="301" t="s">
        <v>107</v>
      </c>
      <c r="F36" s="325" t="s">
        <v>20</v>
      </c>
      <c r="G36" s="289" t="str">
        <f t="shared" ref="G36:G50" si="10">VLOOKUP(D36,'Copy of Form Responses; CCTV Infra 1'!$G$2:$I$675,2,false)</f>
        <v>#REF!</v>
      </c>
      <c r="H36" s="408" t="s">
        <v>21</v>
      </c>
      <c r="I36" s="289" t="str">
        <f t="shared" ref="I36:I50" si="11">VLOOKUP(D36,'Copy of Form Responses; CCTV Infra 1'!$G$2:$I$675,3,false)</f>
        <v>#REF!</v>
      </c>
      <c r="J36" s="400" t="s">
        <v>1478</v>
      </c>
      <c r="K36" s="328" t="s">
        <v>20</v>
      </c>
      <c r="L36" s="329" t="s">
        <v>137</v>
      </c>
      <c r="M36" s="329" t="s">
        <v>1497</v>
      </c>
      <c r="N36" s="401" t="s">
        <v>108</v>
      </c>
      <c r="O36" s="329" t="s">
        <v>25</v>
      </c>
      <c r="P36" s="329" t="s">
        <v>1498</v>
      </c>
      <c r="Q36" s="414" t="s">
        <v>1330</v>
      </c>
    </row>
    <row r="37" hidden="1">
      <c r="A37" s="51">
        <v>1255.0</v>
      </c>
      <c r="B37" s="51">
        <v>1255.0</v>
      </c>
      <c r="C37" s="289">
        <v>16.0</v>
      </c>
      <c r="D37" s="398">
        <f>IFERROR(__xludf.DUMMYFUNCTION("if(B37&lt;=999,if(B37&lt;=99,IF(B37&lt;=9,join(,""000"",B37),join(,""00"",B37)),join(,""0"",B37)),B37)"),1255.0)</f>
        <v>1255</v>
      </c>
      <c r="E37" s="301" t="s">
        <v>109</v>
      </c>
      <c r="F37" s="325" t="s">
        <v>20</v>
      </c>
      <c r="G37" s="289" t="str">
        <f t="shared" si="10"/>
        <v>#REF!</v>
      </c>
      <c r="H37" s="408" t="s">
        <v>21</v>
      </c>
      <c r="I37" s="289" t="str">
        <f t="shared" si="11"/>
        <v>#REF!</v>
      </c>
      <c r="J37" s="400" t="s">
        <v>73</v>
      </c>
      <c r="K37" s="328" t="s">
        <v>20</v>
      </c>
      <c r="L37" s="438" t="s">
        <v>23</v>
      </c>
      <c r="M37" s="291" t="s">
        <v>110</v>
      </c>
      <c r="N37" s="401">
        <v>16.0</v>
      </c>
      <c r="O37" s="439" t="s">
        <v>25</v>
      </c>
      <c r="P37" s="439" t="s">
        <v>86</v>
      </c>
      <c r="Q37" s="414" t="s">
        <v>1330</v>
      </c>
    </row>
    <row r="38" hidden="1">
      <c r="A38" s="51">
        <v>1205.0</v>
      </c>
      <c r="B38" s="51">
        <v>1205.0</v>
      </c>
      <c r="C38" s="289">
        <v>17.0</v>
      </c>
      <c r="D38" s="398">
        <f>IFERROR(__xludf.DUMMYFUNCTION("if(B38&lt;=999,if(B38&lt;=99,IF(B38&lt;=9,join(,""000"",B38),join(,""00"",B38)),join(,""0"",B38)),B38)"),1205.0)</f>
        <v>1205</v>
      </c>
      <c r="E38" s="301" t="s">
        <v>111</v>
      </c>
      <c r="F38" s="325" t="s">
        <v>20</v>
      </c>
      <c r="G38" s="289" t="str">
        <f t="shared" si="10"/>
        <v>#REF!</v>
      </c>
      <c r="H38" s="408" t="s">
        <v>21</v>
      </c>
      <c r="I38" s="289" t="str">
        <f t="shared" si="11"/>
        <v>#REF!</v>
      </c>
      <c r="J38" s="400" t="s">
        <v>73</v>
      </c>
      <c r="K38" s="328" t="s">
        <v>20</v>
      </c>
      <c r="L38" s="438" t="s">
        <v>23</v>
      </c>
      <c r="M38" s="291" t="s">
        <v>110</v>
      </c>
      <c r="N38" s="401">
        <v>16.0</v>
      </c>
      <c r="O38" s="439" t="s">
        <v>25</v>
      </c>
      <c r="P38" s="439" t="s">
        <v>86</v>
      </c>
      <c r="Q38" s="414" t="s">
        <v>1330</v>
      </c>
    </row>
    <row r="39" hidden="1">
      <c r="A39" s="51">
        <v>1353.0</v>
      </c>
      <c r="B39" s="51">
        <v>1353.0</v>
      </c>
      <c r="C39" s="298">
        <v>18.0</v>
      </c>
      <c r="D39" s="403">
        <f>IFERROR(__xludf.DUMMYFUNCTION("if(B39&lt;=999,if(B39&lt;=99,IF(B39&lt;=9,join(,""000"",B39),join(,""00"",B39)),join(,""0"",B39)),B39)"),1353.0)</f>
        <v>1353</v>
      </c>
      <c r="E39" s="301" t="s">
        <v>112</v>
      </c>
      <c r="F39" s="325" t="s">
        <v>20</v>
      </c>
      <c r="G39" s="289" t="str">
        <f t="shared" si="10"/>
        <v>#REF!</v>
      </c>
      <c r="H39" s="408" t="s">
        <v>21</v>
      </c>
      <c r="I39" s="289" t="str">
        <f t="shared" si="11"/>
        <v>#REF!</v>
      </c>
      <c r="J39" s="400" t="s">
        <v>101</v>
      </c>
      <c r="K39" s="328" t="s">
        <v>20</v>
      </c>
      <c r="L39" s="329" t="s">
        <v>95</v>
      </c>
      <c r="M39" s="329" t="s">
        <v>113</v>
      </c>
      <c r="N39" s="401">
        <v>80.0</v>
      </c>
      <c r="O39" s="329" t="s">
        <v>25</v>
      </c>
      <c r="P39" s="329" t="s">
        <v>114</v>
      </c>
      <c r="Q39" s="414" t="s">
        <v>1330</v>
      </c>
    </row>
    <row r="40">
      <c r="A40" s="51">
        <v>1383.0</v>
      </c>
      <c r="B40" s="51">
        <v>1383.0</v>
      </c>
      <c r="C40" s="260">
        <v>3.0</v>
      </c>
      <c r="D40" s="260">
        <f>IFERROR(__xludf.DUMMYFUNCTION("if(B40&lt;=999,if(B40&lt;=99,IF(B40&lt;=9,join(,""000"",B40),join(,""00"",B40)),join(,""0"",B40)),B40)"),1383.0)</f>
        <v>1383</v>
      </c>
      <c r="E40" s="270" t="s">
        <v>115</v>
      </c>
      <c r="F40" s="260" t="s">
        <v>35</v>
      </c>
      <c r="G40" s="260" t="str">
        <f t="shared" si="10"/>
        <v>#REF!</v>
      </c>
      <c r="H40" s="410" t="s">
        <v>21</v>
      </c>
      <c r="I40" s="260" t="str">
        <f t="shared" si="11"/>
        <v>#REF!</v>
      </c>
      <c r="J40" s="271"/>
      <c r="K40" s="411" t="str">
        <f>vlookup(D40,'Elligible Training Institutes R'!$D$9:$L$19,9,false)</f>
        <v>#N/A</v>
      </c>
      <c r="L40" s="329"/>
      <c r="M40" s="329"/>
      <c r="N40" s="401" t="e">
        <v>#N/A</v>
      </c>
      <c r="O40" s="329"/>
      <c r="P40" s="329"/>
      <c r="Q40" s="412" t="s">
        <v>1423</v>
      </c>
    </row>
    <row r="41" hidden="1">
      <c r="A41" s="51">
        <v>757.0</v>
      </c>
      <c r="B41" s="51">
        <v>757.0</v>
      </c>
      <c r="C41" s="289"/>
      <c r="D41" s="289" t="str">
        <f>IFERROR(__xludf.DUMMYFUNCTION("if(B41&lt;=999,if(B41&lt;=99,IF(B41&lt;=9,join(,""000"",B41),join(,""00"",B41)),join(,""0"",B41)),B41)"),"0757")</f>
        <v>0757</v>
      </c>
      <c r="E41" s="326" t="s">
        <v>116</v>
      </c>
      <c r="F41" s="325" t="s">
        <v>20</v>
      </c>
      <c r="G41" s="289" t="str">
        <f t="shared" si="10"/>
        <v>#REF!</v>
      </c>
      <c r="H41" s="408" t="s">
        <v>21</v>
      </c>
      <c r="I41" s="289" t="str">
        <f t="shared" si="11"/>
        <v>#REF!</v>
      </c>
      <c r="J41" s="400" t="s">
        <v>117</v>
      </c>
      <c r="K41" s="328" t="s">
        <v>20</v>
      </c>
      <c r="L41" s="329" t="s">
        <v>28</v>
      </c>
      <c r="M41" s="329" t="s">
        <v>1499</v>
      </c>
      <c r="N41" s="401">
        <v>16.0</v>
      </c>
      <c r="O41" s="329" t="s">
        <v>288</v>
      </c>
      <c r="P41" s="329" t="s">
        <v>55</v>
      </c>
      <c r="Q41" s="414" t="s">
        <v>1330</v>
      </c>
    </row>
    <row r="42" hidden="1">
      <c r="A42" s="51">
        <v>1376.0</v>
      </c>
      <c r="B42" s="51">
        <v>1376.0</v>
      </c>
      <c r="C42" s="289">
        <v>19.0</v>
      </c>
      <c r="D42" s="289">
        <f>IFERROR(__xludf.DUMMYFUNCTION("if(B42&lt;=999,if(B42&lt;=99,IF(B42&lt;=9,join(,""000"",B42),join(,""00"",B42)),join(,""0"",B42)),B42)"),1376.0)</f>
        <v>1376</v>
      </c>
      <c r="E42" s="301" t="s">
        <v>118</v>
      </c>
      <c r="F42" s="325" t="s">
        <v>20</v>
      </c>
      <c r="G42" s="289" t="str">
        <f t="shared" si="10"/>
        <v>#REF!</v>
      </c>
      <c r="H42" s="408" t="s">
        <v>21</v>
      </c>
      <c r="I42" s="289" t="str">
        <f t="shared" si="11"/>
        <v>#REF!</v>
      </c>
      <c r="J42" s="400" t="s">
        <v>63</v>
      </c>
      <c r="K42" s="328" t="s">
        <v>20</v>
      </c>
      <c r="L42" s="329" t="s">
        <v>28</v>
      </c>
      <c r="M42" s="329" t="s">
        <v>119</v>
      </c>
      <c r="N42" s="401">
        <v>80.0</v>
      </c>
      <c r="O42" s="329" t="s">
        <v>25</v>
      </c>
      <c r="P42" s="329" t="s">
        <v>86</v>
      </c>
      <c r="Q42" s="414" t="s">
        <v>1330</v>
      </c>
    </row>
    <row r="43" hidden="1">
      <c r="A43" s="55">
        <v>1018.0</v>
      </c>
      <c r="B43" s="55">
        <v>1018.0</v>
      </c>
      <c r="C43" s="289">
        <v>20.0</v>
      </c>
      <c r="D43" s="440">
        <f>IFERROR(__xludf.DUMMYFUNCTION("if(B43&lt;=999,if(B43&lt;=99,IF(B43&lt;=9,join(,""000"",B43),join(,""00"",B43)),join(,""0"",B43)),B43)"),1018.0)</f>
        <v>1018</v>
      </c>
      <c r="E43" s="425" t="s">
        <v>120</v>
      </c>
      <c r="F43" s="426" t="s">
        <v>20</v>
      </c>
      <c r="G43" s="298" t="str">
        <f t="shared" si="10"/>
        <v>#REF!</v>
      </c>
      <c r="H43" s="426" t="s">
        <v>21</v>
      </c>
      <c r="I43" s="298" t="str">
        <f t="shared" si="11"/>
        <v>#REF!</v>
      </c>
      <c r="J43" s="405" t="s">
        <v>77</v>
      </c>
      <c r="K43" s="427" t="s">
        <v>20</v>
      </c>
      <c r="L43" s="428" t="s">
        <v>121</v>
      </c>
      <c r="M43" s="428" t="s">
        <v>122</v>
      </c>
      <c r="N43" s="407" t="s">
        <v>123</v>
      </c>
      <c r="O43" s="429" t="s">
        <v>25</v>
      </c>
      <c r="P43" s="429" t="s">
        <v>124</v>
      </c>
      <c r="Q43" s="414" t="s">
        <v>1330</v>
      </c>
    </row>
    <row r="44" hidden="1">
      <c r="A44" s="33">
        <v>287.0</v>
      </c>
      <c r="B44" s="34">
        <v>287.0</v>
      </c>
      <c r="C44" s="298">
        <v>21.0</v>
      </c>
      <c r="D44" s="403" t="str">
        <f>IFERROR(__xludf.DUMMYFUNCTION("if(B44&lt;=999,if(B44&lt;=99,IF(B44&lt;=9,join(,""000"",B44),join(,""00"",B44)),join(,""0"",B44)),B44)"),"0287")</f>
        <v>0287</v>
      </c>
      <c r="E44" s="296" t="s">
        <v>125</v>
      </c>
      <c r="F44" s="289" t="s">
        <v>20</v>
      </c>
      <c r="G44" s="289" t="str">
        <f t="shared" si="10"/>
        <v>#REF!</v>
      </c>
      <c r="H44" s="399" t="s">
        <v>21</v>
      </c>
      <c r="I44" s="289" t="str">
        <f t="shared" si="11"/>
        <v>#REF!</v>
      </c>
      <c r="J44" s="400" t="s">
        <v>34</v>
      </c>
      <c r="K44" s="290" t="s">
        <v>20</v>
      </c>
      <c r="L44" s="401" t="s">
        <v>95</v>
      </c>
      <c r="M44" s="291" t="s">
        <v>126</v>
      </c>
      <c r="N44" s="401">
        <v>25001.0</v>
      </c>
      <c r="O44" s="401" t="s">
        <v>25</v>
      </c>
      <c r="P44" s="401" t="s">
        <v>55</v>
      </c>
      <c r="Q44" s="407" t="s">
        <v>1330</v>
      </c>
    </row>
    <row r="45" hidden="1">
      <c r="A45" s="33">
        <v>1414.0</v>
      </c>
      <c r="B45" s="34">
        <v>1414.0</v>
      </c>
      <c r="C45" s="289"/>
      <c r="D45" s="289">
        <f>IFERROR(__xludf.DUMMYFUNCTION("if(B45&lt;=999,if(B45&lt;=99,IF(B45&lt;=9,join(,""000"",B45),join(,""00"",B45)),join(,""0"",B45)),B45)"),1414.0)</f>
        <v>1414</v>
      </c>
      <c r="E45" s="297" t="s">
        <v>127</v>
      </c>
      <c r="F45" s="289" t="s">
        <v>20</v>
      </c>
      <c r="G45" s="289" t="str">
        <f t="shared" si="10"/>
        <v>#REF!</v>
      </c>
      <c r="H45" s="399" t="s">
        <v>21</v>
      </c>
      <c r="I45" s="289" t="str">
        <f t="shared" si="11"/>
        <v>#REF!</v>
      </c>
      <c r="J45" s="400" t="s">
        <v>22</v>
      </c>
      <c r="K45" s="290" t="s">
        <v>20</v>
      </c>
      <c r="L45" s="401" t="s">
        <v>28</v>
      </c>
      <c r="M45" s="401" t="s">
        <v>128</v>
      </c>
      <c r="N45" s="401">
        <v>8080.0</v>
      </c>
      <c r="O45" s="401" t="s">
        <v>25</v>
      </c>
      <c r="P45" s="401" t="s">
        <v>129</v>
      </c>
      <c r="Q45" s="407" t="s">
        <v>1330</v>
      </c>
    </row>
    <row r="46" hidden="1">
      <c r="A46" s="33">
        <v>1430.0</v>
      </c>
      <c r="B46" s="34">
        <v>1430.0</v>
      </c>
      <c r="C46" s="289">
        <v>22.0</v>
      </c>
      <c r="D46" s="289">
        <f>IFERROR(__xludf.DUMMYFUNCTION("if(B46&lt;=999,if(B46&lt;=99,IF(B46&lt;=9,join(,""000"",B46),join(,""00"",B46)),join(,""0"",B46)),B46)"),1430.0)</f>
        <v>1430</v>
      </c>
      <c r="E46" s="296" t="s">
        <v>131</v>
      </c>
      <c r="F46" s="289" t="s">
        <v>20</v>
      </c>
      <c r="G46" s="289" t="str">
        <f t="shared" si="10"/>
        <v>#REF!</v>
      </c>
      <c r="H46" s="399" t="s">
        <v>21</v>
      </c>
      <c r="I46" s="289" t="str">
        <f t="shared" si="11"/>
        <v>#REF!</v>
      </c>
      <c r="J46" s="400" t="s">
        <v>34</v>
      </c>
      <c r="K46" s="290" t="s">
        <v>20</v>
      </c>
      <c r="L46" s="401" t="s">
        <v>28</v>
      </c>
      <c r="M46" s="401" t="s">
        <v>1500</v>
      </c>
      <c r="N46" s="401">
        <v>16.0</v>
      </c>
      <c r="O46" s="401" t="s">
        <v>25</v>
      </c>
      <c r="P46" s="401" t="s">
        <v>1501</v>
      </c>
      <c r="Q46" s="407" t="s">
        <v>1330</v>
      </c>
    </row>
    <row r="47" hidden="1">
      <c r="A47" s="51">
        <v>1418.0</v>
      </c>
      <c r="B47" s="51">
        <v>1418.0</v>
      </c>
      <c r="C47" s="289">
        <v>23.0</v>
      </c>
      <c r="D47" s="289">
        <f>IFERROR(__xludf.DUMMYFUNCTION("if(B47&lt;=999,if(B47&lt;=99,IF(B47&lt;=9,join(,""000"",B47),join(,""00"",B47)),join(,""0"",B47)),B47)"),1418.0)</f>
        <v>1418</v>
      </c>
      <c r="E47" s="301" t="s">
        <v>132</v>
      </c>
      <c r="F47" s="325" t="s">
        <v>20</v>
      </c>
      <c r="G47" s="289" t="str">
        <f t="shared" si="10"/>
        <v>#REF!</v>
      </c>
      <c r="H47" s="408" t="s">
        <v>21</v>
      </c>
      <c r="I47" s="289" t="str">
        <f t="shared" si="11"/>
        <v>#REF!</v>
      </c>
      <c r="J47" s="400" t="s">
        <v>34</v>
      </c>
      <c r="K47" s="328" t="s">
        <v>20</v>
      </c>
      <c r="L47" s="329" t="s">
        <v>28</v>
      </c>
      <c r="M47" s="291" t="s">
        <v>1502</v>
      </c>
      <c r="N47" s="401">
        <v>16.0</v>
      </c>
      <c r="O47" s="439" t="s">
        <v>25</v>
      </c>
      <c r="P47" s="439" t="s">
        <v>86</v>
      </c>
      <c r="Q47" s="414" t="s">
        <v>1330</v>
      </c>
    </row>
    <row r="48" hidden="1">
      <c r="A48" s="51">
        <v>1254.0</v>
      </c>
      <c r="B48" s="51">
        <v>1254.0</v>
      </c>
      <c r="C48" s="298">
        <v>24.0</v>
      </c>
      <c r="D48" s="289">
        <f>IFERROR(__xludf.DUMMYFUNCTION("if(B48&lt;=999,if(B48&lt;=99,IF(B48&lt;=9,join(,""000"",B48),join(,""00"",B48)),join(,""0"",B48)),B48)"),1254.0)</f>
        <v>1254</v>
      </c>
      <c r="E48" s="301" t="s">
        <v>135</v>
      </c>
      <c r="F48" s="325" t="s">
        <v>20</v>
      </c>
      <c r="G48" s="289" t="str">
        <f t="shared" si="10"/>
        <v>#REF!</v>
      </c>
      <c r="H48" s="408" t="s">
        <v>21</v>
      </c>
      <c r="I48" s="289" t="str">
        <f t="shared" si="11"/>
        <v>#REF!</v>
      </c>
      <c r="J48" s="400" t="s">
        <v>63</v>
      </c>
      <c r="K48" s="328" t="s">
        <v>20</v>
      </c>
      <c r="L48" s="329" t="s">
        <v>28</v>
      </c>
      <c r="M48" s="329" t="s">
        <v>119</v>
      </c>
      <c r="N48" s="401">
        <v>80.0</v>
      </c>
      <c r="O48" s="329" t="s">
        <v>25</v>
      </c>
      <c r="P48" s="329" t="s">
        <v>86</v>
      </c>
      <c r="Q48" s="414" t="s">
        <v>1330</v>
      </c>
    </row>
    <row r="49" hidden="1">
      <c r="A49" s="33">
        <v>1098.0</v>
      </c>
      <c r="B49" s="34">
        <v>1098.0</v>
      </c>
      <c r="C49" s="289">
        <v>25.0</v>
      </c>
      <c r="D49" s="289">
        <f>IFERROR(__xludf.DUMMYFUNCTION("if(B49&lt;=999,if(B49&lt;=99,IF(B49&lt;=9,join(,""000"",B49),join(,""00"",B49)),join(,""0"",B49)),B49)"),1098.0)</f>
        <v>1098</v>
      </c>
      <c r="E49" s="296" t="s">
        <v>136</v>
      </c>
      <c r="F49" s="289" t="s">
        <v>20</v>
      </c>
      <c r="G49" s="289" t="str">
        <f t="shared" si="10"/>
        <v>#REF!</v>
      </c>
      <c r="H49" s="399" t="s">
        <v>21</v>
      </c>
      <c r="I49" s="289" t="str">
        <f t="shared" si="11"/>
        <v>#REF!</v>
      </c>
      <c r="J49" s="400" t="s">
        <v>34</v>
      </c>
      <c r="K49" s="290" t="s">
        <v>20</v>
      </c>
      <c r="L49" s="401" t="s">
        <v>137</v>
      </c>
      <c r="M49" s="401" t="s">
        <v>138</v>
      </c>
      <c r="N49" s="401" t="s">
        <v>139</v>
      </c>
      <c r="O49" s="401" t="s">
        <v>25</v>
      </c>
      <c r="P49" s="401" t="s">
        <v>55</v>
      </c>
      <c r="Q49" s="407" t="s">
        <v>1330</v>
      </c>
    </row>
    <row r="50" hidden="1">
      <c r="A50" s="51">
        <v>1024.0</v>
      </c>
      <c r="B50" s="51">
        <v>1024.0</v>
      </c>
      <c r="C50" s="289"/>
      <c r="D50" s="289">
        <f>IFERROR(__xludf.DUMMYFUNCTION("if(B50&lt;=999,if(B50&lt;=99,IF(B50&lt;=9,join(,""000"",B50),join(,""00"",B50)),join(,""0"",B50)),B50)"),1024.0)</f>
        <v>1024</v>
      </c>
      <c r="E50" s="326" t="s">
        <v>140</v>
      </c>
      <c r="F50" s="325" t="s">
        <v>20</v>
      </c>
      <c r="G50" s="289" t="str">
        <f t="shared" si="10"/>
        <v>#REF!</v>
      </c>
      <c r="H50" s="408" t="s">
        <v>21</v>
      </c>
      <c r="I50" s="289" t="str">
        <f t="shared" si="11"/>
        <v>#REF!</v>
      </c>
      <c r="J50" s="400" t="s">
        <v>77</v>
      </c>
      <c r="K50" s="328" t="s">
        <v>20</v>
      </c>
      <c r="L50" s="329"/>
      <c r="M50" s="329" t="s">
        <v>1503</v>
      </c>
      <c r="N50" s="401">
        <v>5005.0</v>
      </c>
      <c r="O50" s="329" t="s">
        <v>25</v>
      </c>
      <c r="P50" s="329" t="s">
        <v>1504</v>
      </c>
      <c r="Q50" s="407" t="s">
        <v>1330</v>
      </c>
    </row>
    <row r="51" hidden="1">
      <c r="A51" s="51">
        <v>344.0</v>
      </c>
      <c r="B51" s="51">
        <v>344.0</v>
      </c>
      <c r="C51" s="289">
        <v>26.0</v>
      </c>
      <c r="D51" s="289" t="str">
        <f>IFERROR(__xludf.DUMMYFUNCTION("if(B51&lt;=999,if(B51&lt;=99,IF(B51&lt;=9,join(,""000"",B51),join(,""00"",B51)),join(,""0"",B51)),B51)"),"0344")</f>
        <v>0344</v>
      </c>
      <c r="E51" s="301" t="s">
        <v>141</v>
      </c>
      <c r="F51" s="325" t="s">
        <v>20</v>
      </c>
      <c r="G51" s="289" t="s">
        <v>1505</v>
      </c>
      <c r="H51" s="408" t="s">
        <v>21</v>
      </c>
      <c r="I51" s="289">
        <v>9.93606077E9</v>
      </c>
      <c r="J51" s="400" t="s">
        <v>22</v>
      </c>
      <c r="K51" s="328" t="s">
        <v>20</v>
      </c>
      <c r="L51" s="329" t="s">
        <v>28</v>
      </c>
      <c r="M51" s="329" t="s">
        <v>1506</v>
      </c>
      <c r="N51" s="401" t="e">
        <v>#N/A</v>
      </c>
      <c r="O51" s="329" t="s">
        <v>25</v>
      </c>
      <c r="P51" s="329" t="s">
        <v>1507</v>
      </c>
      <c r="Q51" s="414" t="s">
        <v>1330</v>
      </c>
    </row>
    <row r="52" hidden="1">
      <c r="A52" s="45">
        <v>1194.0</v>
      </c>
      <c r="B52" s="45">
        <v>1194.0</v>
      </c>
      <c r="C52" s="298">
        <v>27.0</v>
      </c>
      <c r="D52" s="424">
        <f>IFERROR(__xludf.DUMMYFUNCTION("if(B52&lt;=999,if(B52&lt;=99,IF(B52&lt;=9,join(,""000"",B52),join(,""00"",B52)),join(,""0"",B52)),B52)"),1194.0)</f>
        <v>1194</v>
      </c>
      <c r="E52" s="299" t="s">
        <v>142</v>
      </c>
      <c r="F52" s="298" t="s">
        <v>20</v>
      </c>
      <c r="G52" s="298" t="str">
        <f t="shared" ref="G52:G53" si="12">VLOOKUP(D52,'Copy of Form Responses; CCTV Infra 1'!$G$2:$I$675,2,false)</f>
        <v>#REF!</v>
      </c>
      <c r="H52" s="298" t="s">
        <v>21</v>
      </c>
      <c r="I52" s="298" t="str">
        <f t="shared" ref="I52:I53" si="13">VLOOKUP(D52,'Copy of Form Responses; CCTV Infra 1'!$G$2:$I$675,3,false)</f>
        <v>#REF!</v>
      </c>
      <c r="J52" s="405" t="s">
        <v>101</v>
      </c>
      <c r="K52" s="276" t="s">
        <v>20</v>
      </c>
      <c r="L52" s="407" t="s">
        <v>95</v>
      </c>
      <c r="M52" s="407" t="s">
        <v>143</v>
      </c>
      <c r="N52" s="407">
        <v>37777.0</v>
      </c>
      <c r="O52" s="407" t="s">
        <v>25</v>
      </c>
      <c r="P52" s="407" t="s">
        <v>55</v>
      </c>
      <c r="Q52" s="414" t="s">
        <v>1330</v>
      </c>
    </row>
    <row r="53" hidden="1">
      <c r="A53" s="51">
        <v>1398.0</v>
      </c>
      <c r="B53" s="51">
        <v>1398.0</v>
      </c>
      <c r="C53" s="289"/>
      <c r="D53" s="289">
        <f>IFERROR(__xludf.DUMMYFUNCTION("if(B53&lt;=999,if(B53&lt;=99,IF(B53&lt;=9,join(,""000"",B53),join(,""00"",B53)),join(,""0"",B53)),B53)"),1398.0)</f>
        <v>1398</v>
      </c>
      <c r="E53" s="326" t="s">
        <v>145</v>
      </c>
      <c r="F53" s="325" t="s">
        <v>20</v>
      </c>
      <c r="G53" s="289" t="str">
        <f t="shared" si="12"/>
        <v>#REF!</v>
      </c>
      <c r="H53" s="408" t="s">
        <v>21</v>
      </c>
      <c r="I53" s="289" t="str">
        <f t="shared" si="13"/>
        <v>#REF!</v>
      </c>
      <c r="J53" s="400" t="s">
        <v>22</v>
      </c>
      <c r="K53" s="328" t="s">
        <v>20</v>
      </c>
      <c r="L53" s="329" t="s">
        <v>23</v>
      </c>
      <c r="M53" s="291" t="s">
        <v>146</v>
      </c>
      <c r="N53" s="401">
        <v>34567.0</v>
      </c>
      <c r="O53" s="439" t="s">
        <v>25</v>
      </c>
      <c r="P53" s="439" t="s">
        <v>55</v>
      </c>
      <c r="Q53" s="414" t="s">
        <v>1330</v>
      </c>
    </row>
    <row r="54" hidden="1">
      <c r="A54" s="33">
        <v>1155.0</v>
      </c>
      <c r="B54" s="34">
        <v>1155.0</v>
      </c>
      <c r="C54" s="289">
        <v>28.0</v>
      </c>
      <c r="D54" s="403">
        <f>IFERROR(__xludf.DUMMYFUNCTION("if(B54&lt;=999,if(B54&lt;=99,IF(B54&lt;=9,join(,""000"",B54),join(,""00"",B54)),join(,""0"",B54)),B54)"),1155.0)</f>
        <v>1155</v>
      </c>
      <c r="E54" s="296" t="s">
        <v>147</v>
      </c>
      <c r="F54" s="289" t="s">
        <v>20</v>
      </c>
      <c r="G54" s="289" t="s">
        <v>1508</v>
      </c>
      <c r="H54" s="399" t="s">
        <v>21</v>
      </c>
      <c r="I54" s="289">
        <v>9.455432652E9</v>
      </c>
      <c r="J54" s="400" t="s">
        <v>99</v>
      </c>
      <c r="K54" s="290" t="s">
        <v>20</v>
      </c>
      <c r="L54" s="401" t="s">
        <v>148</v>
      </c>
      <c r="M54" s="401" t="s">
        <v>149</v>
      </c>
      <c r="N54" s="401" t="e">
        <v>#N/A</v>
      </c>
      <c r="O54" s="401" t="s">
        <v>25</v>
      </c>
      <c r="P54" s="401" t="s">
        <v>55</v>
      </c>
      <c r="Q54" s="407" t="s">
        <v>1330</v>
      </c>
    </row>
    <row r="55">
      <c r="A55" s="33">
        <v>72.0</v>
      </c>
      <c r="B55" s="34">
        <v>72.0</v>
      </c>
      <c r="C55" s="260">
        <v>4.0</v>
      </c>
      <c r="D55" s="260" t="str">
        <f>IFERROR(__xludf.DUMMYFUNCTION("if(B55&lt;=999,if(B55&lt;=99,IF(B55&lt;=9,join(,""000"",B55),join(,""00"",B55)),join(,""0"",B55)),B55)"),"0072")</f>
        <v>0072</v>
      </c>
      <c r="E55" s="270" t="s">
        <v>929</v>
      </c>
      <c r="F55" s="260" t="s">
        <v>20</v>
      </c>
      <c r="G55" s="260" t="s">
        <v>1345</v>
      </c>
      <c r="H55" s="410" t="s">
        <v>21</v>
      </c>
      <c r="I55" s="260">
        <v>8.400331163E9</v>
      </c>
      <c r="J55" s="264" t="s">
        <v>99</v>
      </c>
      <c r="K55" s="411" t="str">
        <f>vlookup(D55,'Elligible Training Institutes R'!$D$9:$L$19,9,false)</f>
        <v>#N/A</v>
      </c>
      <c r="L55" s="401" t="s">
        <v>23</v>
      </c>
      <c r="M55" s="401"/>
      <c r="N55" s="401" t="e">
        <v>#N/A</v>
      </c>
      <c r="O55" s="401"/>
      <c r="P55" s="401"/>
      <c r="Q55" s="441" t="s">
        <v>1424</v>
      </c>
    </row>
    <row r="56" hidden="1">
      <c r="A56" s="33">
        <v>1038.0</v>
      </c>
      <c r="B56" s="34">
        <v>1038.0</v>
      </c>
      <c r="C56" s="289">
        <v>29.0</v>
      </c>
      <c r="D56" s="403">
        <f>IFERROR(__xludf.DUMMYFUNCTION("if(B56&lt;=999,if(B56&lt;=99,IF(B56&lt;=9,join(,""000"",B56),join(,""00"",B56)),join(,""0"",B56)),B56)"),1038.0)</f>
        <v>1038</v>
      </c>
      <c r="E56" s="296" t="s">
        <v>153</v>
      </c>
      <c r="F56" s="289" t="s">
        <v>20</v>
      </c>
      <c r="G56" s="289" t="str">
        <f t="shared" ref="G56:G65" si="14">VLOOKUP(D56,'Copy of Form Responses; CCTV Infra 1'!$G$2:$I$675,2,false)</f>
        <v>#REF!</v>
      </c>
      <c r="H56" s="399" t="s">
        <v>21</v>
      </c>
      <c r="I56" s="289" t="str">
        <f t="shared" ref="I56:I65" si="15">VLOOKUP(D56,'Copy of Form Responses; CCTV Infra 1'!$G$2:$I$675,3,false)</f>
        <v>#REF!</v>
      </c>
      <c r="J56" s="400" t="s">
        <v>22</v>
      </c>
      <c r="K56" s="290" t="s">
        <v>20</v>
      </c>
      <c r="L56" s="401" t="s">
        <v>95</v>
      </c>
      <c r="M56" s="401" t="s">
        <v>1509</v>
      </c>
      <c r="N56" s="401">
        <v>16.0</v>
      </c>
      <c r="O56" s="401" t="s">
        <v>25</v>
      </c>
      <c r="P56" s="401" t="s">
        <v>55</v>
      </c>
      <c r="Q56" s="407" t="s">
        <v>1330</v>
      </c>
    </row>
    <row r="57" hidden="1">
      <c r="A57" s="51">
        <v>519.0</v>
      </c>
      <c r="B57" s="51">
        <v>519.0</v>
      </c>
      <c r="C57" s="289"/>
      <c r="D57" s="403" t="str">
        <f>IFERROR(__xludf.DUMMYFUNCTION("if(B57&lt;=999,if(B57&lt;=99,IF(B57&lt;=9,join(,""000"",B57),join(,""00"",B57)),join(,""0"",B57)),B57)"),"0519")</f>
        <v>0519</v>
      </c>
      <c r="E57" s="326" t="s">
        <v>155</v>
      </c>
      <c r="F57" s="325" t="s">
        <v>20</v>
      </c>
      <c r="G57" s="289" t="str">
        <f t="shared" si="14"/>
        <v>#REF!</v>
      </c>
      <c r="H57" s="408" t="s">
        <v>21</v>
      </c>
      <c r="I57" s="289" t="str">
        <f t="shared" si="15"/>
        <v>#REF!</v>
      </c>
      <c r="J57" s="400" t="s">
        <v>34</v>
      </c>
      <c r="K57" s="328" t="s">
        <v>20</v>
      </c>
      <c r="L57" s="329" t="s">
        <v>95</v>
      </c>
      <c r="M57" s="291" t="s">
        <v>1510</v>
      </c>
      <c r="N57" s="401" t="s">
        <v>157</v>
      </c>
      <c r="O57" s="439" t="s">
        <v>25</v>
      </c>
      <c r="P57" s="439" t="s">
        <v>158</v>
      </c>
      <c r="Q57" s="414" t="s">
        <v>1330</v>
      </c>
    </row>
    <row r="58" hidden="1">
      <c r="A58" s="324">
        <v>747.0</v>
      </c>
      <c r="B58" s="324">
        <v>747.0</v>
      </c>
      <c r="C58" s="418"/>
      <c r="D58" s="418" t="str">
        <f>IFERROR(__xludf.DUMMYFUNCTION("if(B58&lt;=999,if(B58&lt;=99,IF(B58&lt;=9,join(,""000"",B58),join(,""00"",B58)),join(,""0"",B58)),B58)"),"0747")</f>
        <v>0747</v>
      </c>
      <c r="E58" s="442" t="s">
        <v>160</v>
      </c>
      <c r="F58" s="418" t="s">
        <v>20</v>
      </c>
      <c r="G58" s="418" t="str">
        <f t="shared" si="14"/>
        <v>#REF!</v>
      </c>
      <c r="H58" s="419" t="s">
        <v>21</v>
      </c>
      <c r="I58" s="418" t="str">
        <f t="shared" si="15"/>
        <v>#REF!</v>
      </c>
      <c r="J58" s="420" t="s">
        <v>22</v>
      </c>
      <c r="K58" s="421" t="s">
        <v>20</v>
      </c>
      <c r="L58" s="422" t="s">
        <v>95</v>
      </c>
      <c r="M58" s="443" t="s">
        <v>1510</v>
      </c>
      <c r="N58" s="422" t="s">
        <v>157</v>
      </c>
      <c r="O58" s="444" t="s">
        <v>25</v>
      </c>
      <c r="P58" s="444" t="s">
        <v>158</v>
      </c>
      <c r="Q58" s="423" t="s">
        <v>1330</v>
      </c>
    </row>
    <row r="59" hidden="1">
      <c r="A59" s="33">
        <v>649.0</v>
      </c>
      <c r="B59" s="34">
        <v>649.0</v>
      </c>
      <c r="C59" s="298">
        <v>30.0</v>
      </c>
      <c r="D59" s="403" t="str">
        <f>IFERROR(__xludf.DUMMYFUNCTION("if(B59&lt;=999,if(B59&lt;=99,IF(B59&lt;=9,join(,""000"",B59),join(,""00"",B59)),join(,""0"",B59)),B59)"),"0649")</f>
        <v>0649</v>
      </c>
      <c r="E59" s="296" t="s">
        <v>161</v>
      </c>
      <c r="F59" s="289" t="s">
        <v>20</v>
      </c>
      <c r="G59" s="289" t="str">
        <f t="shared" si="14"/>
        <v>#REF!</v>
      </c>
      <c r="H59" s="399" t="s">
        <v>21</v>
      </c>
      <c r="I59" s="289" t="str">
        <f t="shared" si="15"/>
        <v>#REF!</v>
      </c>
      <c r="J59" s="400" t="s">
        <v>73</v>
      </c>
      <c r="K59" s="290" t="s">
        <v>20</v>
      </c>
      <c r="L59" s="329" t="s">
        <v>95</v>
      </c>
      <c r="M59" s="445" t="s">
        <v>1511</v>
      </c>
      <c r="N59" s="446" t="s">
        <v>25</v>
      </c>
      <c r="O59" s="447" t="s">
        <v>25</v>
      </c>
      <c r="P59" s="439" t="s">
        <v>163</v>
      </c>
      <c r="Q59" s="414" t="s">
        <v>1330</v>
      </c>
    </row>
    <row r="60" hidden="1">
      <c r="A60" s="324">
        <v>412.0</v>
      </c>
      <c r="B60" s="324">
        <v>412.0</v>
      </c>
      <c r="C60" s="418">
        <v>32.0</v>
      </c>
      <c r="D60" s="418" t="str">
        <f>IFERROR(__xludf.DUMMYFUNCTION("if(B60&lt;=999,if(B60&lt;=99,IF(B60&lt;=9,join(,""000"",B60),join(,""00"",B60)),join(,""0"",B60)),B60)"),"0412")</f>
        <v>0412</v>
      </c>
      <c r="E60" s="417" t="s">
        <v>166</v>
      </c>
      <c r="F60" s="418" t="s">
        <v>20</v>
      </c>
      <c r="G60" s="418" t="str">
        <f t="shared" si="14"/>
        <v>#REF!</v>
      </c>
      <c r="H60" s="419" t="s">
        <v>21</v>
      </c>
      <c r="I60" s="418" t="str">
        <f t="shared" si="15"/>
        <v>#REF!</v>
      </c>
      <c r="J60" s="420" t="s">
        <v>73</v>
      </c>
      <c r="K60" s="421" t="s">
        <v>20</v>
      </c>
      <c r="L60" s="422" t="s">
        <v>95</v>
      </c>
      <c r="M60" s="448" t="s">
        <v>1511</v>
      </c>
      <c r="N60" s="449" t="s">
        <v>25</v>
      </c>
      <c r="O60" s="450" t="s">
        <v>25</v>
      </c>
      <c r="P60" s="444" t="s">
        <v>163</v>
      </c>
      <c r="Q60" s="423" t="s">
        <v>1330</v>
      </c>
    </row>
    <row r="61" hidden="1">
      <c r="A61" s="324">
        <v>20.0</v>
      </c>
      <c r="B61" s="324">
        <v>20.0</v>
      </c>
      <c r="C61" s="418">
        <v>31.0</v>
      </c>
      <c r="D61" s="418" t="str">
        <f>IFERROR(__xludf.DUMMYFUNCTION("if(B61&lt;=999,if(B61&lt;=99,IF(B61&lt;=9,join(,""000"",B61),join(,""00"",B61)),join(,""0"",B61)),B61)"),"0020")</f>
        <v>0020</v>
      </c>
      <c r="E61" s="417" t="s">
        <v>164</v>
      </c>
      <c r="F61" s="418" t="s">
        <v>20</v>
      </c>
      <c r="G61" s="418" t="str">
        <f t="shared" si="14"/>
        <v>#REF!</v>
      </c>
      <c r="H61" s="419" t="s">
        <v>21</v>
      </c>
      <c r="I61" s="418" t="str">
        <f t="shared" si="15"/>
        <v>#REF!</v>
      </c>
      <c r="J61" s="420" t="s">
        <v>165</v>
      </c>
      <c r="K61" s="421" t="s">
        <v>20</v>
      </c>
      <c r="L61" s="422" t="s">
        <v>95</v>
      </c>
      <c r="M61" s="443" t="s">
        <v>1511</v>
      </c>
      <c r="N61" s="449" t="s">
        <v>25</v>
      </c>
      <c r="O61" s="450" t="s">
        <v>25</v>
      </c>
      <c r="P61" s="444" t="s">
        <v>163</v>
      </c>
      <c r="Q61" s="423" t="s">
        <v>1330</v>
      </c>
    </row>
    <row r="62" hidden="1">
      <c r="A62" s="324">
        <v>363.0</v>
      </c>
      <c r="B62" s="415">
        <v>363.0</v>
      </c>
      <c r="C62" s="416">
        <v>33.0</v>
      </c>
      <c r="D62" s="418" t="str">
        <f>IFERROR(__xludf.DUMMYFUNCTION("if(B62&lt;=999,if(B62&lt;=99,IF(B62&lt;=9,join(,""000"",B62),join(,""00"",B62)),join(,""0"",B62)),B62)"),"0363")</f>
        <v>0363</v>
      </c>
      <c r="E62" s="417" t="s">
        <v>167</v>
      </c>
      <c r="F62" s="418" t="s">
        <v>20</v>
      </c>
      <c r="G62" s="418" t="str">
        <f t="shared" si="14"/>
        <v>#REF!</v>
      </c>
      <c r="H62" s="419" t="s">
        <v>21</v>
      </c>
      <c r="I62" s="418" t="str">
        <f t="shared" si="15"/>
        <v>#REF!</v>
      </c>
      <c r="J62" s="420" t="s">
        <v>73</v>
      </c>
      <c r="K62" s="421" t="s">
        <v>20</v>
      </c>
      <c r="L62" s="422" t="s">
        <v>95</v>
      </c>
      <c r="M62" s="448" t="s">
        <v>1511</v>
      </c>
      <c r="N62" s="449" t="s">
        <v>25</v>
      </c>
      <c r="O62" s="450" t="s">
        <v>25</v>
      </c>
      <c r="P62" s="444" t="s">
        <v>163</v>
      </c>
      <c r="Q62" s="423" t="s">
        <v>1330</v>
      </c>
    </row>
    <row r="63" hidden="1">
      <c r="A63" s="51">
        <v>1141.0</v>
      </c>
      <c r="B63" s="51">
        <v>1141.0</v>
      </c>
      <c r="C63" s="289"/>
      <c r="D63" s="403">
        <f>IFERROR(__xludf.DUMMYFUNCTION("if(B63&lt;=999,if(B63&lt;=99,IF(B63&lt;=9,join(,""000"",B63),join(,""00"",B63)),join(,""0"",B63)),B63)"),1141.0)</f>
        <v>1141</v>
      </c>
      <c r="E63" s="326" t="s">
        <v>168</v>
      </c>
      <c r="F63" s="325" t="s">
        <v>20</v>
      </c>
      <c r="G63" s="289" t="str">
        <f t="shared" si="14"/>
        <v>#REF!</v>
      </c>
      <c r="H63" s="408" t="s">
        <v>21</v>
      </c>
      <c r="I63" s="289" t="str">
        <f t="shared" si="15"/>
        <v>#REF!</v>
      </c>
      <c r="J63" s="400" t="s">
        <v>99</v>
      </c>
      <c r="K63" s="328" t="s">
        <v>20</v>
      </c>
      <c r="L63" s="329" t="s">
        <v>95</v>
      </c>
      <c r="M63" s="329" t="s">
        <v>1512</v>
      </c>
      <c r="N63" s="401" t="s">
        <v>171</v>
      </c>
      <c r="O63" s="329" t="s">
        <v>25</v>
      </c>
      <c r="P63" s="329" t="s">
        <v>1513</v>
      </c>
      <c r="Q63" s="430" t="s">
        <v>1330</v>
      </c>
    </row>
    <row r="64" ht="20.25" hidden="1" customHeight="1">
      <c r="A64" s="324">
        <v>746.0</v>
      </c>
      <c r="B64" s="324">
        <v>746.0</v>
      </c>
      <c r="C64" s="418"/>
      <c r="D64" s="418" t="str">
        <f>IFERROR(__xludf.DUMMYFUNCTION("if(B64&lt;=999,if(B64&lt;=99,IF(B64&lt;=9,join(,""000"",B64),join(,""00"",B64)),join(,""0"",B64)),B64)"),"0746")</f>
        <v>0746</v>
      </c>
      <c r="E64" s="442" t="s">
        <v>170</v>
      </c>
      <c r="F64" s="418" t="s">
        <v>20</v>
      </c>
      <c r="G64" s="418" t="str">
        <f t="shared" si="14"/>
        <v>#REF!</v>
      </c>
      <c r="H64" s="419" t="s">
        <v>21</v>
      </c>
      <c r="I64" s="418" t="str">
        <f t="shared" si="15"/>
        <v>#REF!</v>
      </c>
      <c r="J64" s="420" t="s">
        <v>99</v>
      </c>
      <c r="K64" s="421" t="s">
        <v>20</v>
      </c>
      <c r="L64" s="422" t="s">
        <v>95</v>
      </c>
      <c r="M64" s="422" t="s">
        <v>1512</v>
      </c>
      <c r="N64" s="422" t="s">
        <v>171</v>
      </c>
      <c r="O64" s="422" t="s">
        <v>25</v>
      </c>
      <c r="P64" s="422" t="s">
        <v>1513</v>
      </c>
      <c r="Q64" s="423" t="s">
        <v>1330</v>
      </c>
    </row>
    <row r="65" hidden="1">
      <c r="A65" s="51">
        <v>1209.0</v>
      </c>
      <c r="B65" s="51">
        <v>1209.0</v>
      </c>
      <c r="C65" s="289">
        <v>34.0</v>
      </c>
      <c r="D65" s="403">
        <f>IFERROR(__xludf.DUMMYFUNCTION("if(B65&lt;=999,if(B65&lt;=99,IF(B65&lt;=9,join(,""000"",B65),join(,""00"",B65)),join(,""0"",B65)),B65)"),1209.0)</f>
        <v>1209</v>
      </c>
      <c r="E65" s="301" t="s">
        <v>172</v>
      </c>
      <c r="F65" s="325" t="s">
        <v>20</v>
      </c>
      <c r="G65" s="289" t="str">
        <f t="shared" si="14"/>
        <v>#REF!</v>
      </c>
      <c r="H65" s="408" t="s">
        <v>21</v>
      </c>
      <c r="I65" s="289" t="str">
        <f t="shared" si="15"/>
        <v>#REF!</v>
      </c>
      <c r="J65" s="400" t="s">
        <v>73</v>
      </c>
      <c r="K65" s="328" t="s">
        <v>20</v>
      </c>
      <c r="L65" s="329" t="s">
        <v>95</v>
      </c>
      <c r="M65" s="329" t="s">
        <v>173</v>
      </c>
      <c r="N65" s="401"/>
      <c r="O65" s="329" t="s">
        <v>25</v>
      </c>
      <c r="P65" s="329" t="s">
        <v>163</v>
      </c>
      <c r="Q65" s="414" t="s">
        <v>1330</v>
      </c>
    </row>
    <row r="66" hidden="1">
      <c r="A66" s="33">
        <v>398.0</v>
      </c>
      <c r="B66" s="34">
        <v>398.0</v>
      </c>
      <c r="C66" s="289"/>
      <c r="D66" s="403" t="str">
        <f>IFERROR(__xludf.DUMMYFUNCTION("if(B66&lt;=999,if(B66&lt;=99,IF(B66&lt;=9,join(,""000"",B66),join(,""00"",B66)),join(,""0"",B66)),B66)"),"0398")</f>
        <v>0398</v>
      </c>
      <c r="E66" s="297" t="s">
        <v>174</v>
      </c>
      <c r="F66" s="289" t="s">
        <v>20</v>
      </c>
      <c r="G66" s="289" t="s">
        <v>1514</v>
      </c>
      <c r="H66" s="399" t="s">
        <v>21</v>
      </c>
      <c r="I66" s="289">
        <v>9.044150702E9</v>
      </c>
      <c r="J66" s="400" t="s">
        <v>22</v>
      </c>
      <c r="K66" s="290" t="s">
        <v>20</v>
      </c>
      <c r="L66" s="401" t="s">
        <v>95</v>
      </c>
      <c r="M66" s="401" t="s">
        <v>1515</v>
      </c>
      <c r="N66" s="401" t="e">
        <v>#N/A</v>
      </c>
      <c r="O66" s="401" t="s">
        <v>25</v>
      </c>
      <c r="P66" s="401" t="s">
        <v>1516</v>
      </c>
      <c r="Q66" s="407" t="s">
        <v>1330</v>
      </c>
    </row>
    <row r="67" hidden="1">
      <c r="A67" s="51">
        <v>1036.0</v>
      </c>
      <c r="B67" s="51">
        <v>1036.0</v>
      </c>
      <c r="C67" s="289"/>
      <c r="D67" s="289">
        <f>IFERROR(__xludf.DUMMYFUNCTION("if(B67&lt;=999,if(B67&lt;=99,IF(B67&lt;=9,join(,""000"",B67),join(,""00"",B67)),join(,""0"",B67)),B67)"),1036.0)</f>
        <v>1036</v>
      </c>
      <c r="E67" s="326" t="s">
        <v>175</v>
      </c>
      <c r="F67" s="325" t="s">
        <v>20</v>
      </c>
      <c r="G67" s="289" t="str">
        <f t="shared" ref="G67:G71" si="16">VLOOKUP(D67,'Copy of Form Responses; CCTV Infra 1'!$G$2:$I$675,2,false)</f>
        <v>#REF!</v>
      </c>
      <c r="H67" s="408" t="s">
        <v>21</v>
      </c>
      <c r="I67" s="289" t="str">
        <f t="shared" ref="I67:I71" si="17">VLOOKUP(D67,'Copy of Form Responses; CCTV Infra 1'!$G$2:$I$675,3,false)</f>
        <v>#REF!</v>
      </c>
      <c r="J67" s="400" t="s">
        <v>77</v>
      </c>
      <c r="K67" s="328" t="s">
        <v>20</v>
      </c>
      <c r="L67" s="401" t="s">
        <v>28</v>
      </c>
      <c r="M67" s="451" t="s">
        <v>1517</v>
      </c>
      <c r="N67" s="401">
        <v>16.0</v>
      </c>
      <c r="O67" s="452" t="s">
        <v>25</v>
      </c>
      <c r="P67" s="452" t="s">
        <v>55</v>
      </c>
      <c r="Q67" s="414" t="s">
        <v>1330</v>
      </c>
    </row>
    <row r="68" hidden="1">
      <c r="A68" s="33">
        <v>1107.0</v>
      </c>
      <c r="B68" s="34">
        <v>1107.0</v>
      </c>
      <c r="C68" s="289"/>
      <c r="D68" s="289">
        <f>IFERROR(__xludf.DUMMYFUNCTION("if(B68&lt;=999,if(B68&lt;=99,IF(B68&lt;=9,join(,""000"",B68),join(,""00"",B68)),join(,""0"",B68)),B68)"),1107.0)</f>
        <v>1107</v>
      </c>
      <c r="E68" s="297" t="s">
        <v>177</v>
      </c>
      <c r="F68" s="289" t="s">
        <v>20</v>
      </c>
      <c r="G68" s="289" t="str">
        <f t="shared" si="16"/>
        <v>#REF!</v>
      </c>
      <c r="H68" s="399" t="s">
        <v>21</v>
      </c>
      <c r="I68" s="289" t="str">
        <f t="shared" si="17"/>
        <v>#REF!</v>
      </c>
      <c r="J68" s="400" t="s">
        <v>101</v>
      </c>
      <c r="K68" s="290" t="s">
        <v>20</v>
      </c>
      <c r="L68" s="401" t="s">
        <v>28</v>
      </c>
      <c r="M68" s="401" t="s">
        <v>1518</v>
      </c>
      <c r="N68" s="401" t="s">
        <v>178</v>
      </c>
      <c r="O68" s="401" t="s">
        <v>25</v>
      </c>
      <c r="P68" s="401" t="s">
        <v>1519</v>
      </c>
      <c r="Q68" s="414" t="s">
        <v>1520</v>
      </c>
    </row>
    <row r="69" hidden="1">
      <c r="A69" s="51">
        <v>1294.0</v>
      </c>
      <c r="B69" s="51">
        <v>1294.0</v>
      </c>
      <c r="C69" s="289">
        <v>35.0</v>
      </c>
      <c r="D69" s="403">
        <f>IFERROR(__xludf.DUMMYFUNCTION("if(B69&lt;=999,if(B69&lt;=99,IF(B69&lt;=9,join(,""000"",B69),join(,""00"",B69)),join(,""0"",B69)),B69)"),1294.0)</f>
        <v>1294</v>
      </c>
      <c r="E69" s="301" t="s">
        <v>180</v>
      </c>
      <c r="F69" s="325" t="s">
        <v>20</v>
      </c>
      <c r="G69" s="289" t="str">
        <f t="shared" si="16"/>
        <v>#REF!</v>
      </c>
      <c r="H69" s="408" t="s">
        <v>21</v>
      </c>
      <c r="I69" s="289" t="str">
        <f t="shared" si="17"/>
        <v>#REF!</v>
      </c>
      <c r="J69" s="400" t="s">
        <v>99</v>
      </c>
      <c r="K69" s="328" t="s">
        <v>20</v>
      </c>
      <c r="L69" s="329" t="s">
        <v>95</v>
      </c>
      <c r="M69" s="453" t="s">
        <v>181</v>
      </c>
      <c r="N69" s="401">
        <v>25001.0</v>
      </c>
      <c r="O69" s="329" t="s">
        <v>25</v>
      </c>
      <c r="P69" s="329">
        <v>123.0</v>
      </c>
      <c r="Q69" s="414" t="s">
        <v>1330</v>
      </c>
    </row>
    <row r="70" hidden="1">
      <c r="A70" s="324">
        <v>1213.0</v>
      </c>
      <c r="B70" s="415">
        <v>1213.0</v>
      </c>
      <c r="C70" s="416">
        <v>36.0</v>
      </c>
      <c r="D70" s="418">
        <f>IFERROR(__xludf.DUMMYFUNCTION("if(B70&lt;=999,if(B70&lt;=99,IF(B70&lt;=9,join(,""000"",B70),join(,""00"",B70)),join(,""0"",B70)),B70)"),1213.0)</f>
        <v>1213</v>
      </c>
      <c r="E70" s="417" t="s">
        <v>183</v>
      </c>
      <c r="F70" s="418" t="s">
        <v>20</v>
      </c>
      <c r="G70" s="418" t="str">
        <f t="shared" si="16"/>
        <v>#REF!</v>
      </c>
      <c r="H70" s="419" t="s">
        <v>21</v>
      </c>
      <c r="I70" s="418" t="str">
        <f t="shared" si="17"/>
        <v>#REF!</v>
      </c>
      <c r="J70" s="420" t="s">
        <v>99</v>
      </c>
      <c r="K70" s="421" t="s">
        <v>20</v>
      </c>
      <c r="L70" s="422" t="s">
        <v>95</v>
      </c>
      <c r="M70" s="454" t="s">
        <v>181</v>
      </c>
      <c r="N70" s="422">
        <v>25001.0</v>
      </c>
      <c r="O70" s="422" t="s">
        <v>25</v>
      </c>
      <c r="P70" s="422">
        <v>123.0</v>
      </c>
      <c r="Q70" s="423" t="s">
        <v>1330</v>
      </c>
    </row>
    <row r="71">
      <c r="A71" s="51">
        <v>118.0</v>
      </c>
      <c r="B71" s="51">
        <v>118.0</v>
      </c>
      <c r="C71" s="260">
        <v>5.0</v>
      </c>
      <c r="D71" s="260" t="str">
        <f>IFERROR(__xludf.DUMMYFUNCTION("if(B71&lt;=999,if(B71&lt;=99,IF(B71&lt;=9,join(,""000"",B71),join(,""00"",B71)),join(,""0"",B71)),B71)"),"0118")</f>
        <v>0118</v>
      </c>
      <c r="E71" s="270" t="s">
        <v>917</v>
      </c>
      <c r="F71" s="260" t="s">
        <v>20</v>
      </c>
      <c r="G71" s="260" t="str">
        <f t="shared" si="16"/>
        <v>#REF!</v>
      </c>
      <c r="H71" s="410" t="s">
        <v>21</v>
      </c>
      <c r="I71" s="260" t="str">
        <f t="shared" si="17"/>
        <v>#REF!</v>
      </c>
      <c r="J71" s="264" t="s">
        <v>60</v>
      </c>
      <c r="K71" s="411" t="str">
        <f>vlookup(D71,'Elligible Training Institutes R'!$D$9:$L$19,9,false)</f>
        <v>#N/A</v>
      </c>
      <c r="L71" s="329"/>
      <c r="M71" s="329"/>
      <c r="N71" s="401">
        <v>16.0</v>
      </c>
      <c r="O71" s="329"/>
      <c r="P71" s="329"/>
      <c r="Q71" s="412" t="s">
        <v>918</v>
      </c>
    </row>
    <row r="72" hidden="1">
      <c r="A72" s="51">
        <v>535.0</v>
      </c>
      <c r="B72" s="51">
        <v>535.0</v>
      </c>
      <c r="C72" s="289">
        <v>37.0</v>
      </c>
      <c r="D72" s="289" t="str">
        <f>IFERROR(__xludf.DUMMYFUNCTION("if(B72&lt;=999,if(B72&lt;=99,IF(B72&lt;=9,join(,""000"",B72),join(,""00"",B72)),join(,""0"",B72)),B72)"),"0535")</f>
        <v>0535</v>
      </c>
      <c r="E72" s="301" t="s">
        <v>185</v>
      </c>
      <c r="F72" s="325" t="s">
        <v>20</v>
      </c>
      <c r="G72" s="289" t="s">
        <v>1521</v>
      </c>
      <c r="H72" s="408" t="s">
        <v>21</v>
      </c>
      <c r="I72" s="289">
        <v>8.650800336E9</v>
      </c>
      <c r="J72" s="400" t="s">
        <v>63</v>
      </c>
      <c r="K72" s="328" t="s">
        <v>20</v>
      </c>
      <c r="L72" s="329" t="s">
        <v>28</v>
      </c>
      <c r="M72" s="329" t="s">
        <v>187</v>
      </c>
      <c r="N72" s="401" t="e">
        <v>#N/A</v>
      </c>
      <c r="O72" s="329" t="s">
        <v>25</v>
      </c>
      <c r="P72" s="329" t="s">
        <v>188</v>
      </c>
      <c r="Q72" s="414" t="s">
        <v>1330</v>
      </c>
    </row>
    <row r="73" hidden="1">
      <c r="A73" s="51">
        <v>1311.0</v>
      </c>
      <c r="B73" s="51">
        <v>1311.0</v>
      </c>
      <c r="C73" s="289"/>
      <c r="D73" s="289">
        <f>IFERROR(__xludf.DUMMYFUNCTION("if(B73&lt;=999,if(B73&lt;=99,IF(B73&lt;=9,join(,""000"",B73),join(,""00"",B73)),join(,""0"",B73)),B73)"),1311.0)</f>
        <v>1311</v>
      </c>
      <c r="E73" s="326" t="s">
        <v>189</v>
      </c>
      <c r="F73" s="325" t="s">
        <v>20</v>
      </c>
      <c r="G73" s="289" t="str">
        <f t="shared" ref="G73:G85" si="18">VLOOKUP(D73,'Copy of Form Responses; CCTV Infra 1'!$G$2:$I$675,2,false)</f>
        <v>#REF!</v>
      </c>
      <c r="H73" s="408" t="s">
        <v>21</v>
      </c>
      <c r="I73" s="289" t="str">
        <f t="shared" ref="I73:I85" si="19">VLOOKUP(D73,'Copy of Form Responses; CCTV Infra 1'!$G$2:$I$675,3,false)</f>
        <v>#REF!</v>
      </c>
      <c r="J73" s="400" t="s">
        <v>73</v>
      </c>
      <c r="K73" s="328" t="s">
        <v>20</v>
      </c>
      <c r="L73" s="291" t="s">
        <v>190</v>
      </c>
      <c r="M73" s="291" t="s">
        <v>191</v>
      </c>
      <c r="N73" s="401" t="s">
        <v>35</v>
      </c>
      <c r="O73" s="439" t="s">
        <v>25</v>
      </c>
      <c r="P73" s="447" t="s">
        <v>1522</v>
      </c>
      <c r="Q73" s="414" t="s">
        <v>1330</v>
      </c>
    </row>
    <row r="74" hidden="1">
      <c r="A74" s="51">
        <v>668.0</v>
      </c>
      <c r="B74" s="51">
        <v>668.0</v>
      </c>
      <c r="C74" s="289"/>
      <c r="D74" s="289" t="str">
        <f>IFERROR(__xludf.DUMMYFUNCTION("if(B74&lt;=999,if(B74&lt;=99,IF(B74&lt;=9,join(,""000"",B74),join(,""00"",B74)),join(,""0"",B74)),B74)"),"0668")</f>
        <v>0668</v>
      </c>
      <c r="E74" s="326" t="s">
        <v>193</v>
      </c>
      <c r="F74" s="325" t="s">
        <v>20</v>
      </c>
      <c r="G74" s="455" t="str">
        <f t="shared" si="18"/>
        <v>#REF!</v>
      </c>
      <c r="H74" s="456" t="s">
        <v>21</v>
      </c>
      <c r="I74" s="455" t="str">
        <f t="shared" si="19"/>
        <v>#REF!</v>
      </c>
      <c r="J74" s="400" t="s">
        <v>34</v>
      </c>
      <c r="K74" s="328" t="s">
        <v>20</v>
      </c>
      <c r="L74" s="329"/>
      <c r="M74" s="329" t="s">
        <v>1523</v>
      </c>
      <c r="N74" s="401">
        <v>16.0</v>
      </c>
      <c r="O74" s="329" t="s">
        <v>1524</v>
      </c>
      <c r="P74" s="329" t="s">
        <v>1525</v>
      </c>
      <c r="Q74" s="414" t="s">
        <v>1330</v>
      </c>
    </row>
    <row r="75" hidden="1">
      <c r="A75" s="55">
        <v>1341.0</v>
      </c>
      <c r="B75" s="55">
        <v>1341.0</v>
      </c>
      <c r="C75" s="298"/>
      <c r="D75" s="298">
        <f>IFERROR(__xludf.DUMMYFUNCTION("if(B75&lt;=999,if(B75&lt;=99,IF(B75&lt;=9,join(,""000"",B75),join(,""00"",B75)),join(,""0"",B75)),B75)"),1341.0)</f>
        <v>1341</v>
      </c>
      <c r="E75" s="457" t="s">
        <v>194</v>
      </c>
      <c r="F75" s="426" t="s">
        <v>20</v>
      </c>
      <c r="G75" s="298" t="str">
        <f t="shared" si="18"/>
        <v>#REF!</v>
      </c>
      <c r="H75" s="426" t="s">
        <v>21</v>
      </c>
      <c r="I75" s="298" t="str">
        <f t="shared" si="19"/>
        <v>#REF!</v>
      </c>
      <c r="J75" s="405" t="s">
        <v>77</v>
      </c>
      <c r="K75" s="427" t="s">
        <v>20</v>
      </c>
      <c r="L75" s="414" t="s">
        <v>195</v>
      </c>
      <c r="M75" s="428" t="s">
        <v>196</v>
      </c>
      <c r="N75" s="407" t="s">
        <v>197</v>
      </c>
      <c r="O75" s="429" t="s">
        <v>25</v>
      </c>
      <c r="P75" s="428" t="s">
        <v>86</v>
      </c>
      <c r="Q75" s="414" t="s">
        <v>1330</v>
      </c>
    </row>
    <row r="76" hidden="1">
      <c r="A76" s="33">
        <v>1403.0</v>
      </c>
      <c r="B76" s="34">
        <v>1403.0</v>
      </c>
      <c r="C76" s="289"/>
      <c r="D76" s="289">
        <f>IFERROR(__xludf.DUMMYFUNCTION("if(B76&lt;=999,if(B76&lt;=99,IF(B76&lt;=9,join(,""000"",B76),join(,""00"",B76)),join(,""0"",B76)),B76)"),1403.0)</f>
        <v>1403</v>
      </c>
      <c r="E76" s="297" t="s">
        <v>198</v>
      </c>
      <c r="F76" s="289" t="s">
        <v>20</v>
      </c>
      <c r="G76" s="289" t="str">
        <f t="shared" si="18"/>
        <v>#REF!</v>
      </c>
      <c r="H76" s="399" t="s">
        <v>21</v>
      </c>
      <c r="I76" s="289" t="str">
        <f t="shared" si="19"/>
        <v>#REF!</v>
      </c>
      <c r="J76" s="400" t="s">
        <v>34</v>
      </c>
      <c r="K76" s="290" t="s">
        <v>20</v>
      </c>
      <c r="L76" s="401" t="s">
        <v>48</v>
      </c>
      <c r="M76" s="401" t="s">
        <v>1526</v>
      </c>
      <c r="N76" s="401">
        <v>37777.0</v>
      </c>
      <c r="O76" s="401" t="s">
        <v>25</v>
      </c>
      <c r="P76" s="401" t="s">
        <v>86</v>
      </c>
      <c r="Q76" s="402" t="s">
        <v>1330</v>
      </c>
    </row>
    <row r="77" hidden="1">
      <c r="A77" s="55">
        <v>1265.0</v>
      </c>
      <c r="B77" s="55">
        <v>1265.0</v>
      </c>
      <c r="C77" s="289">
        <v>38.0</v>
      </c>
      <c r="D77" s="424">
        <f>IFERROR(__xludf.DUMMYFUNCTION("if(B77&lt;=999,if(B77&lt;=99,IF(B77&lt;=9,join(,""000"",B77),join(,""00"",B77)),join(,""0"",B77)),B77)"),1265.0)</f>
        <v>1265</v>
      </c>
      <c r="E77" s="425" t="s">
        <v>199</v>
      </c>
      <c r="F77" s="426" t="s">
        <v>20</v>
      </c>
      <c r="G77" s="298" t="str">
        <f t="shared" si="18"/>
        <v>#REF!</v>
      </c>
      <c r="H77" s="426" t="s">
        <v>21</v>
      </c>
      <c r="I77" s="298" t="str">
        <f t="shared" si="19"/>
        <v>#REF!</v>
      </c>
      <c r="J77" s="405" t="s">
        <v>73</v>
      </c>
      <c r="K77" s="427" t="s">
        <v>20</v>
      </c>
      <c r="L77" s="414" t="s">
        <v>95</v>
      </c>
      <c r="M77" s="414" t="s">
        <v>200</v>
      </c>
      <c r="N77" s="407">
        <v>8.0</v>
      </c>
      <c r="O77" s="414" t="s">
        <v>25</v>
      </c>
      <c r="P77" s="414" t="s">
        <v>55</v>
      </c>
      <c r="Q77" s="414" t="s">
        <v>1330</v>
      </c>
    </row>
    <row r="78" hidden="1">
      <c r="A78" s="51">
        <v>1104.0</v>
      </c>
      <c r="B78" s="51">
        <v>1104.0</v>
      </c>
      <c r="C78" s="298">
        <v>39.0</v>
      </c>
      <c r="D78" s="403">
        <f>IFERROR(__xludf.DUMMYFUNCTION("if(B78&lt;=999,if(B78&lt;=99,IF(B78&lt;=9,join(,""000"",B78),join(,""00"",B78)),join(,""0"",B78)),B78)"),1104.0)</f>
        <v>1104</v>
      </c>
      <c r="E78" s="301" t="s">
        <v>202</v>
      </c>
      <c r="F78" s="325" t="s">
        <v>20</v>
      </c>
      <c r="G78" s="289" t="str">
        <f t="shared" si="18"/>
        <v>#REF!</v>
      </c>
      <c r="H78" s="408" t="s">
        <v>21</v>
      </c>
      <c r="I78" s="289" t="str">
        <f t="shared" si="19"/>
        <v>#REF!</v>
      </c>
      <c r="J78" s="400" t="s">
        <v>34</v>
      </c>
      <c r="K78" s="328" t="s">
        <v>20</v>
      </c>
      <c r="L78" s="458" t="s">
        <v>1527</v>
      </c>
      <c r="M78" s="458" t="s">
        <v>1528</v>
      </c>
      <c r="N78" s="401">
        <v>8.0</v>
      </c>
      <c r="O78" s="414" t="s">
        <v>25</v>
      </c>
      <c r="P78" s="414" t="s">
        <v>55</v>
      </c>
      <c r="Q78" s="414" t="s">
        <v>1330</v>
      </c>
    </row>
    <row r="79" hidden="1">
      <c r="A79" s="51">
        <v>1030.0</v>
      </c>
      <c r="B79" s="51">
        <v>1030.0</v>
      </c>
      <c r="C79" s="289"/>
      <c r="D79" s="403">
        <f>IFERROR(__xludf.DUMMYFUNCTION("if(B79&lt;=999,if(B79&lt;=99,IF(B79&lt;=9,join(,""000"",B79),join(,""00"",B79)),join(,""0"",B79)),B79)"),1030.0)</f>
        <v>1030</v>
      </c>
      <c r="E79" s="326" t="s">
        <v>203</v>
      </c>
      <c r="F79" s="325" t="s">
        <v>20</v>
      </c>
      <c r="G79" s="289" t="str">
        <f t="shared" si="18"/>
        <v>#REF!</v>
      </c>
      <c r="H79" s="408" t="s">
        <v>21</v>
      </c>
      <c r="I79" s="289" t="str">
        <f t="shared" si="19"/>
        <v>#REF!</v>
      </c>
      <c r="J79" s="400" t="s">
        <v>34</v>
      </c>
      <c r="K79" s="328" t="s">
        <v>20</v>
      </c>
      <c r="L79" s="329" t="s">
        <v>95</v>
      </c>
      <c r="M79" s="329" t="s">
        <v>1529</v>
      </c>
      <c r="N79" s="401">
        <v>443.0</v>
      </c>
      <c r="O79" s="329" t="s">
        <v>25</v>
      </c>
      <c r="P79" s="329" t="s">
        <v>256</v>
      </c>
      <c r="Q79" s="414" t="s">
        <v>1330</v>
      </c>
    </row>
    <row r="80" hidden="1">
      <c r="A80" s="55">
        <v>1426.0</v>
      </c>
      <c r="B80" s="55">
        <v>1426.0</v>
      </c>
      <c r="C80" s="289">
        <v>40.0</v>
      </c>
      <c r="D80" s="298">
        <f>IFERROR(__xludf.DUMMYFUNCTION("if(B80&lt;=999,if(B80&lt;=99,IF(B80&lt;=9,join(,""000"",B80),join(,""00"",B80)),join(,""0"",B80)),B80)"),1426.0)</f>
        <v>1426</v>
      </c>
      <c r="E80" s="425" t="s">
        <v>205</v>
      </c>
      <c r="F80" s="426" t="s">
        <v>20</v>
      </c>
      <c r="G80" s="298" t="str">
        <f t="shared" si="18"/>
        <v>#REF!</v>
      </c>
      <c r="H80" s="426" t="s">
        <v>21</v>
      </c>
      <c r="I80" s="298" t="str">
        <f t="shared" si="19"/>
        <v>#REF!</v>
      </c>
      <c r="J80" s="405" t="s">
        <v>22</v>
      </c>
      <c r="K80" s="427" t="s">
        <v>20</v>
      </c>
      <c r="L80" s="414" t="s">
        <v>1530</v>
      </c>
      <c r="M80" s="459" t="s">
        <v>206</v>
      </c>
      <c r="N80" s="407">
        <v>32.0</v>
      </c>
      <c r="O80" s="414" t="s">
        <v>207</v>
      </c>
      <c r="P80" s="414" t="s">
        <v>1531</v>
      </c>
      <c r="Q80" s="414" t="s">
        <v>1330</v>
      </c>
    </row>
    <row r="81">
      <c r="A81" s="324">
        <v>1123.0</v>
      </c>
      <c r="B81" s="324">
        <v>1123.0</v>
      </c>
      <c r="C81" s="260">
        <v>6.0</v>
      </c>
      <c r="D81" s="260">
        <f>IFERROR(__xludf.DUMMYFUNCTION("if(B81&lt;=999,if(B81&lt;=99,IF(B81&lt;=9,join(,""000"",B81),join(,""00"",B81)),join(,""0"",B81)),B81)"),1123.0)</f>
        <v>1123</v>
      </c>
      <c r="E81" s="270" t="s">
        <v>653</v>
      </c>
      <c r="F81" s="260" t="s">
        <v>20</v>
      </c>
      <c r="G81" s="260" t="str">
        <f t="shared" si="18"/>
        <v>#REF!</v>
      </c>
      <c r="H81" s="410" t="s">
        <v>21</v>
      </c>
      <c r="I81" s="260" t="str">
        <f t="shared" si="19"/>
        <v>#REF!</v>
      </c>
      <c r="J81" s="264" t="s">
        <v>22</v>
      </c>
      <c r="K81" s="411" t="str">
        <f>vlookup(D81,'Elligible Training Institutes R'!$D$9:$L$19,9,false)</f>
        <v>#N/A</v>
      </c>
      <c r="L81" s="422" t="s">
        <v>95</v>
      </c>
      <c r="M81" s="422"/>
      <c r="N81" s="422" t="e">
        <v>#N/A</v>
      </c>
      <c r="O81" s="422"/>
      <c r="P81" s="422"/>
      <c r="Q81" s="460" t="s">
        <v>654</v>
      </c>
    </row>
    <row r="82" hidden="1">
      <c r="A82" s="45">
        <v>460.0</v>
      </c>
      <c r="B82" s="45">
        <v>460.0</v>
      </c>
      <c r="C82" s="289">
        <v>41.0</v>
      </c>
      <c r="D82" s="424" t="str">
        <f>IFERROR(__xludf.DUMMYFUNCTION("if(B82&lt;=999,if(B82&lt;=99,IF(B82&lt;=9,join(,""000"",B82),join(,""00"",B82)),join(,""0"",B82)),B82)"),"0460")</f>
        <v>0460</v>
      </c>
      <c r="E82" s="299" t="s">
        <v>210</v>
      </c>
      <c r="F82" s="298" t="s">
        <v>20</v>
      </c>
      <c r="G82" s="298" t="str">
        <f t="shared" si="18"/>
        <v>#REF!</v>
      </c>
      <c r="H82" s="298" t="s">
        <v>21</v>
      </c>
      <c r="I82" s="298" t="str">
        <f t="shared" si="19"/>
        <v>#REF!</v>
      </c>
      <c r="J82" s="405" t="s">
        <v>63</v>
      </c>
      <c r="K82" s="406" t="s">
        <v>20</v>
      </c>
      <c r="L82" s="407" t="s">
        <v>95</v>
      </c>
      <c r="M82" s="407" t="s">
        <v>211</v>
      </c>
      <c r="N82" s="407">
        <v>8080.0</v>
      </c>
      <c r="O82" s="407" t="s">
        <v>25</v>
      </c>
      <c r="P82" s="407" t="s">
        <v>86</v>
      </c>
      <c r="Q82" s="414" t="s">
        <v>1330</v>
      </c>
    </row>
    <row r="83" hidden="1">
      <c r="A83" s="51">
        <v>792.0</v>
      </c>
      <c r="B83" s="51">
        <v>792.0</v>
      </c>
      <c r="C83" s="298">
        <v>42.0</v>
      </c>
      <c r="D83" s="289" t="str">
        <f>IFERROR(__xludf.DUMMYFUNCTION("if(B83&lt;=999,if(B83&lt;=99,IF(B83&lt;=9,join(,""000"",B83),join(,""00"",B83)),join(,""0"",B83)),B83)"),"0792")</f>
        <v>0792</v>
      </c>
      <c r="E83" s="301" t="s">
        <v>212</v>
      </c>
      <c r="F83" s="325" t="s">
        <v>20</v>
      </c>
      <c r="G83" s="289" t="str">
        <f t="shared" si="18"/>
        <v>#REF!</v>
      </c>
      <c r="H83" s="408" t="s">
        <v>21</v>
      </c>
      <c r="I83" s="289" t="str">
        <f t="shared" si="19"/>
        <v>#REF!</v>
      </c>
      <c r="J83" s="400" t="s">
        <v>73</v>
      </c>
      <c r="K83" s="328" t="s">
        <v>20</v>
      </c>
      <c r="L83" s="329" t="s">
        <v>28</v>
      </c>
      <c r="M83" s="461" t="s">
        <v>213</v>
      </c>
      <c r="N83" s="401">
        <v>1.0</v>
      </c>
      <c r="O83" s="329" t="s">
        <v>25</v>
      </c>
      <c r="P83" s="329" t="s">
        <v>55</v>
      </c>
      <c r="Q83" s="414" t="s">
        <v>1330</v>
      </c>
    </row>
    <row r="84">
      <c r="A84" s="51">
        <v>396.0</v>
      </c>
      <c r="B84" s="51">
        <v>396.0</v>
      </c>
      <c r="C84" s="260">
        <v>7.0</v>
      </c>
      <c r="D84" s="260" t="str">
        <f>IFERROR(__xludf.DUMMYFUNCTION("if(B84&lt;=999,if(B84&lt;=99,IF(B84&lt;=9,join(,""000"",B84),join(,""00"",B84)),join(,""0"",B84)),B84)"),"0396")</f>
        <v>0396</v>
      </c>
      <c r="E84" s="270" t="s">
        <v>214</v>
      </c>
      <c r="F84" s="260" t="s">
        <v>35</v>
      </c>
      <c r="G84" s="260" t="str">
        <f t="shared" si="18"/>
        <v>#REF!</v>
      </c>
      <c r="H84" s="410" t="s">
        <v>21</v>
      </c>
      <c r="I84" s="260" t="str">
        <f t="shared" si="19"/>
        <v>#REF!</v>
      </c>
      <c r="J84" s="271"/>
      <c r="K84" s="411" t="str">
        <f>vlookup(D84,'Elligible Training Institutes R'!$D$9:$L$19,9,false)</f>
        <v>#N/A</v>
      </c>
      <c r="L84" s="329"/>
      <c r="M84" s="329"/>
      <c r="N84" s="401" t="e">
        <v>#N/A</v>
      </c>
      <c r="O84" s="329"/>
      <c r="P84" s="329"/>
      <c r="Q84" s="412" t="s">
        <v>1423</v>
      </c>
    </row>
    <row r="85" hidden="1">
      <c r="A85" s="324">
        <v>1044.0</v>
      </c>
      <c r="B85" s="324">
        <v>1044.0</v>
      </c>
      <c r="C85" s="418">
        <v>43.0</v>
      </c>
      <c r="D85" s="418">
        <f>IFERROR(__xludf.DUMMYFUNCTION("if(B85&lt;=999,if(B85&lt;=99,IF(B85&lt;=9,join(,""000"",B85),join(,""00"",B85)),join(,""0"",B85)),B85)"),1044.0)</f>
        <v>1044</v>
      </c>
      <c r="E85" s="417" t="s">
        <v>215</v>
      </c>
      <c r="F85" s="418" t="s">
        <v>20</v>
      </c>
      <c r="G85" s="418" t="str">
        <f t="shared" si="18"/>
        <v>#REF!</v>
      </c>
      <c r="H85" s="419" t="s">
        <v>21</v>
      </c>
      <c r="I85" s="418" t="str">
        <f t="shared" si="19"/>
        <v>#REF!</v>
      </c>
      <c r="J85" s="420" t="s">
        <v>99</v>
      </c>
      <c r="K85" s="421" t="s">
        <v>20</v>
      </c>
      <c r="L85" s="422" t="s">
        <v>95</v>
      </c>
      <c r="M85" s="422" t="s">
        <v>216</v>
      </c>
      <c r="N85" s="422">
        <v>16.0</v>
      </c>
      <c r="O85" s="422" t="s">
        <v>25</v>
      </c>
      <c r="P85" s="422" t="s">
        <v>217</v>
      </c>
      <c r="Q85" s="423" t="s">
        <v>1330</v>
      </c>
    </row>
    <row r="86" hidden="1">
      <c r="A86" s="324">
        <v>730.0</v>
      </c>
      <c r="B86" s="415">
        <v>730.0</v>
      </c>
      <c r="C86" s="418">
        <v>44.0</v>
      </c>
      <c r="D86" s="418" t="str">
        <f>IFERROR(__xludf.DUMMYFUNCTION("if(B86&lt;=999,if(B86&lt;=99,IF(B86&lt;=9,join(,""000"",B86),join(,""00"",B86)),join(,""0"",B86)),B86)"),"0730")</f>
        <v>0730</v>
      </c>
      <c r="E86" s="417" t="s">
        <v>218</v>
      </c>
      <c r="F86" s="418" t="s">
        <v>20</v>
      </c>
      <c r="G86" s="418" t="s">
        <v>1532</v>
      </c>
      <c r="H86" s="419" t="s">
        <v>21</v>
      </c>
      <c r="I86" s="418">
        <v>9.889977715E9</v>
      </c>
      <c r="J86" s="420" t="s">
        <v>99</v>
      </c>
      <c r="K86" s="421" t="s">
        <v>20</v>
      </c>
      <c r="L86" s="422" t="s">
        <v>95</v>
      </c>
      <c r="M86" s="422" t="s">
        <v>216</v>
      </c>
      <c r="N86" s="422">
        <v>16.0</v>
      </c>
      <c r="O86" s="422" t="s">
        <v>25</v>
      </c>
      <c r="P86" s="422" t="s">
        <v>217</v>
      </c>
      <c r="Q86" s="423" t="s">
        <v>1330</v>
      </c>
    </row>
    <row r="87">
      <c r="A87" s="51">
        <v>1237.0</v>
      </c>
      <c r="B87" s="51">
        <v>1237.0</v>
      </c>
      <c r="C87" s="260">
        <v>8.0</v>
      </c>
      <c r="D87" s="260">
        <f>IFERROR(__xludf.DUMMYFUNCTION("if(B87&lt;=999,if(B87&lt;=99,IF(B87&lt;=9,join(,""000"",B87),join(,""00"",B87)),join(,""0"",B87)),B87)"),1237.0)</f>
        <v>1237</v>
      </c>
      <c r="E87" s="270" t="s">
        <v>219</v>
      </c>
      <c r="F87" s="260" t="s">
        <v>35</v>
      </c>
      <c r="G87" s="260" t="str">
        <f t="shared" ref="G87:G89" si="20">VLOOKUP(D87,'Copy of Form Responses; CCTV Infra 1'!$G$2:$I$675,2,false)</f>
        <v>#REF!</v>
      </c>
      <c r="H87" s="410" t="s">
        <v>21</v>
      </c>
      <c r="I87" s="260" t="str">
        <f t="shared" ref="I87:I89" si="21">VLOOKUP(D87,'Copy of Form Responses; CCTV Infra 1'!$G$2:$I$675,3,false)</f>
        <v>#REF!</v>
      </c>
      <c r="J87" s="271"/>
      <c r="K87" s="411" t="str">
        <f>vlookup(D87,'Elligible Training Institutes R'!$D$9:$L$19,9,false)</f>
        <v>#N/A</v>
      </c>
      <c r="L87" s="329"/>
      <c r="M87" s="329"/>
      <c r="N87" s="401" t="e">
        <v>#N/A</v>
      </c>
      <c r="O87" s="329"/>
      <c r="P87" s="329"/>
      <c r="Q87" s="412" t="s">
        <v>1423</v>
      </c>
    </row>
    <row r="88" hidden="1">
      <c r="A88" s="45">
        <v>67.0</v>
      </c>
      <c r="B88" s="45">
        <v>67.0</v>
      </c>
      <c r="C88" s="298">
        <v>45.0</v>
      </c>
      <c r="D88" s="424" t="str">
        <f>IFERROR(__xludf.DUMMYFUNCTION("if(B88&lt;=999,if(B88&lt;=99,IF(B88&lt;=9,join(,""000"",B88),join(,""00"",B88)),join(,""0"",B88)),B88)"),"0067")</f>
        <v>0067</v>
      </c>
      <c r="E88" s="299" t="s">
        <v>220</v>
      </c>
      <c r="F88" s="298" t="s">
        <v>20</v>
      </c>
      <c r="G88" s="298" t="str">
        <f t="shared" si="20"/>
        <v>#REF!</v>
      </c>
      <c r="H88" s="298" t="s">
        <v>21</v>
      </c>
      <c r="I88" s="298" t="str">
        <f t="shared" si="21"/>
        <v>#REF!</v>
      </c>
      <c r="J88" s="405" t="s">
        <v>63</v>
      </c>
      <c r="K88" s="406" t="s">
        <v>20</v>
      </c>
      <c r="L88" s="407" t="s">
        <v>95</v>
      </c>
      <c r="M88" s="407" t="s">
        <v>221</v>
      </c>
      <c r="N88" s="407"/>
      <c r="O88" s="407" t="s">
        <v>25</v>
      </c>
      <c r="P88" s="407" t="s">
        <v>222</v>
      </c>
      <c r="Q88" s="407" t="s">
        <v>1330</v>
      </c>
    </row>
    <row r="89">
      <c r="A89" s="51">
        <v>1039.0</v>
      </c>
      <c r="B89" s="51">
        <v>1039.0</v>
      </c>
      <c r="C89" s="260">
        <v>9.0</v>
      </c>
      <c r="D89" s="260">
        <f>IFERROR(__xludf.DUMMYFUNCTION("if(B89&lt;=999,if(B89&lt;=99,IF(B89&lt;=9,join(,""000"",B89),join(,""00"",B89)),join(,""0"",B89)),B89)"),1039.0)</f>
        <v>1039</v>
      </c>
      <c r="E89" s="270" t="s">
        <v>1160</v>
      </c>
      <c r="F89" s="260" t="s">
        <v>20</v>
      </c>
      <c r="G89" s="260" t="str">
        <f t="shared" si="20"/>
        <v>#REF!</v>
      </c>
      <c r="H89" s="410" t="s">
        <v>21</v>
      </c>
      <c r="I89" s="260" t="str">
        <f t="shared" si="21"/>
        <v>#REF!</v>
      </c>
      <c r="J89" s="264" t="s">
        <v>99</v>
      </c>
      <c r="K89" s="411" t="str">
        <f>vlookup(D89,'Elligible Training Institutes R'!$D$9:$L$19,9,false)</f>
        <v>#N/A</v>
      </c>
      <c r="L89" s="329"/>
      <c r="M89" s="329"/>
      <c r="N89" s="401">
        <v>80.0</v>
      </c>
      <c r="O89" s="329"/>
      <c r="P89" s="329"/>
      <c r="Q89" s="412" t="s">
        <v>1425</v>
      </c>
    </row>
    <row r="90" hidden="1">
      <c r="A90" s="33">
        <v>1152.0</v>
      </c>
      <c r="B90" s="69">
        <v>1152.0</v>
      </c>
      <c r="C90" s="289"/>
      <c r="D90" s="289">
        <f>IFERROR(__xludf.DUMMYFUNCTION("if(B90&lt;=999,if(B90&lt;=99,IF(B90&lt;=9,join(,""000"",B90),join(,""00"",B90)),join(,""0"",B90)),B90)"),1152.0)</f>
        <v>1152</v>
      </c>
      <c r="E90" s="297" t="s">
        <v>227</v>
      </c>
      <c r="F90" s="289" t="s">
        <v>20</v>
      </c>
      <c r="G90" s="289" t="s">
        <v>1533</v>
      </c>
      <c r="H90" s="399" t="s">
        <v>21</v>
      </c>
      <c r="I90" s="289" t="s">
        <v>1534</v>
      </c>
      <c r="J90" s="400" t="s">
        <v>22</v>
      </c>
      <c r="K90" s="290" t="s">
        <v>20</v>
      </c>
      <c r="L90" s="401" t="s">
        <v>23</v>
      </c>
      <c r="M90" s="401" t="s">
        <v>1535</v>
      </c>
      <c r="N90" s="401">
        <v>8.0</v>
      </c>
      <c r="O90" s="401" t="s">
        <v>25</v>
      </c>
      <c r="P90" s="401" t="s">
        <v>1536</v>
      </c>
      <c r="Q90" s="407" t="s">
        <v>1330</v>
      </c>
    </row>
    <row r="91" hidden="1">
      <c r="A91" s="51">
        <v>1436.0</v>
      </c>
      <c r="B91" s="51">
        <v>1436.0</v>
      </c>
      <c r="C91" s="289"/>
      <c r="D91" s="289">
        <f>IFERROR(__xludf.DUMMYFUNCTION("if(B91&lt;=999,if(B91&lt;=99,IF(B91&lt;=9,join(,""000"",B91),join(,""00"",B91)),join(,""0"",B91)),B91)"),1436.0)</f>
        <v>1436</v>
      </c>
      <c r="E91" s="326" t="s">
        <v>229</v>
      </c>
      <c r="F91" s="325" t="s">
        <v>20</v>
      </c>
      <c r="G91" s="289" t="s">
        <v>1537</v>
      </c>
      <c r="H91" s="408" t="s">
        <v>21</v>
      </c>
      <c r="I91" s="289">
        <v>7.599224094E9</v>
      </c>
      <c r="J91" s="400" t="s">
        <v>63</v>
      </c>
      <c r="K91" s="328" t="s">
        <v>20</v>
      </c>
      <c r="L91" s="329" t="s">
        <v>23</v>
      </c>
      <c r="M91" s="329" t="s">
        <v>1538</v>
      </c>
      <c r="N91" s="401" t="e">
        <v>#N/A</v>
      </c>
      <c r="O91" s="329" t="s">
        <v>104</v>
      </c>
      <c r="P91" s="329" t="s">
        <v>231</v>
      </c>
      <c r="Q91" s="414" t="s">
        <v>1330</v>
      </c>
    </row>
    <row r="92" hidden="1">
      <c r="A92" s="33">
        <v>348.0</v>
      </c>
      <c r="B92" s="34">
        <v>348.0</v>
      </c>
      <c r="C92" s="289">
        <v>46.0</v>
      </c>
      <c r="D92" s="289" t="str">
        <f>IFERROR(__xludf.DUMMYFUNCTION("if(B92&lt;=999,if(B92&lt;=99,IF(B92&lt;=9,join(,""000"",B92),join(,""00"",B92)),join(,""0"",B92)),B92)"),"0348")</f>
        <v>0348</v>
      </c>
      <c r="E92" s="296" t="s">
        <v>232</v>
      </c>
      <c r="F92" s="289" t="s">
        <v>20</v>
      </c>
      <c r="G92" s="289" t="str">
        <f t="shared" ref="G92:G98" si="22">VLOOKUP(D92,'Copy of Form Responses; CCTV Infra 1'!$G$2:$I$675,2,false)</f>
        <v>#REF!</v>
      </c>
      <c r="H92" s="399" t="s">
        <v>21</v>
      </c>
      <c r="I92" s="289" t="str">
        <f t="shared" ref="I92:I98" si="23">VLOOKUP(D92,'Copy of Form Responses; CCTV Infra 1'!$G$2:$I$675,3,false)</f>
        <v>#REF!</v>
      </c>
      <c r="J92" s="400" t="s">
        <v>101</v>
      </c>
      <c r="K92" s="290" t="s">
        <v>20</v>
      </c>
      <c r="L92" s="401" t="s">
        <v>233</v>
      </c>
      <c r="M92" s="462" t="s">
        <v>234</v>
      </c>
      <c r="N92" s="401">
        <v>808.0</v>
      </c>
      <c r="O92" s="401" t="s">
        <v>235</v>
      </c>
      <c r="P92" s="401" t="s">
        <v>236</v>
      </c>
      <c r="Q92" s="407" t="s">
        <v>1330</v>
      </c>
    </row>
    <row r="93">
      <c r="A93" s="51">
        <v>1227.0</v>
      </c>
      <c r="B93" s="51">
        <v>1227.0</v>
      </c>
      <c r="C93" s="260">
        <v>10.0</v>
      </c>
      <c r="D93" s="260">
        <f>IFERROR(__xludf.DUMMYFUNCTION("if(B93&lt;=999,if(B93&lt;=99,IF(B93&lt;=9,join(,""000"",B93),join(,""00"",B93)),join(,""0"",B93)),B93)"),1227.0)</f>
        <v>1227</v>
      </c>
      <c r="E93" s="270" t="s">
        <v>237</v>
      </c>
      <c r="F93" s="260" t="s">
        <v>35</v>
      </c>
      <c r="G93" s="260" t="str">
        <f t="shared" si="22"/>
        <v>#REF!</v>
      </c>
      <c r="H93" s="410" t="s">
        <v>21</v>
      </c>
      <c r="I93" s="260" t="str">
        <f t="shared" si="23"/>
        <v>#REF!</v>
      </c>
      <c r="J93" s="271"/>
      <c r="K93" s="411" t="str">
        <f>vlookup(D93,'Elligible Training Institutes R'!$D$9:$L$19,9,false)</f>
        <v>#N/A</v>
      </c>
      <c r="L93" s="329"/>
      <c r="M93" s="329"/>
      <c r="N93" s="401" t="e">
        <v>#N/A</v>
      </c>
      <c r="O93" s="329"/>
      <c r="P93" s="329"/>
      <c r="Q93" s="412" t="s">
        <v>1423</v>
      </c>
    </row>
    <row r="94" hidden="1">
      <c r="A94" s="51">
        <v>1062.0</v>
      </c>
      <c r="B94" s="51">
        <v>1062.0</v>
      </c>
      <c r="C94" s="289">
        <v>47.0</v>
      </c>
      <c r="D94" s="289">
        <f>IFERROR(__xludf.DUMMYFUNCTION("if(B94&lt;=999,if(B94&lt;=99,IF(B94&lt;=9,join(,""000"",B94),join(,""00"",B94)),join(,""0"",B94)),B94)"),1062.0)</f>
        <v>1062</v>
      </c>
      <c r="E94" s="301" t="s">
        <v>238</v>
      </c>
      <c r="F94" s="325" t="s">
        <v>20</v>
      </c>
      <c r="G94" s="289" t="str">
        <f t="shared" si="22"/>
        <v>#REF!</v>
      </c>
      <c r="H94" s="408" t="s">
        <v>21</v>
      </c>
      <c r="I94" s="289" t="str">
        <f t="shared" si="23"/>
        <v>#REF!</v>
      </c>
      <c r="J94" s="400" t="s">
        <v>101</v>
      </c>
      <c r="K94" s="328" t="s">
        <v>20</v>
      </c>
      <c r="L94" s="329" t="s">
        <v>137</v>
      </c>
      <c r="M94" s="329" t="s">
        <v>239</v>
      </c>
      <c r="N94" s="401">
        <v>25002.0</v>
      </c>
      <c r="O94" s="329" t="s">
        <v>240</v>
      </c>
      <c r="P94" s="329" t="s">
        <v>241</v>
      </c>
      <c r="Q94" s="414" t="s">
        <v>1330</v>
      </c>
    </row>
    <row r="95" hidden="1">
      <c r="A95" s="51">
        <v>1061.0</v>
      </c>
      <c r="B95" s="51">
        <v>1061.0</v>
      </c>
      <c r="C95" s="298">
        <v>48.0</v>
      </c>
      <c r="D95" s="289">
        <f>IFERROR(__xludf.DUMMYFUNCTION("if(B95&lt;=999,if(B95&lt;=99,IF(B95&lt;=9,join(,""000"",B95),join(,""00"",B95)),join(,""0"",B95)),B95)"),1061.0)</f>
        <v>1061</v>
      </c>
      <c r="E95" s="301" t="s">
        <v>242</v>
      </c>
      <c r="F95" s="325" t="s">
        <v>20</v>
      </c>
      <c r="G95" s="289" t="str">
        <f t="shared" si="22"/>
        <v>#REF!</v>
      </c>
      <c r="H95" s="408" t="s">
        <v>21</v>
      </c>
      <c r="I95" s="289" t="str">
        <f t="shared" si="23"/>
        <v>#REF!</v>
      </c>
      <c r="J95" s="400" t="s">
        <v>22</v>
      </c>
      <c r="K95" s="328" t="s">
        <v>20</v>
      </c>
      <c r="L95" s="329" t="s">
        <v>23</v>
      </c>
      <c r="M95" s="329" t="s">
        <v>243</v>
      </c>
      <c r="N95" s="401" t="s">
        <v>244</v>
      </c>
      <c r="O95" s="329" t="s">
        <v>25</v>
      </c>
      <c r="P95" s="329" t="s">
        <v>245</v>
      </c>
      <c r="Q95" s="414" t="s">
        <v>1330</v>
      </c>
    </row>
    <row r="96" hidden="1">
      <c r="A96" s="51">
        <v>1214.0</v>
      </c>
      <c r="B96" s="51">
        <v>1214.0</v>
      </c>
      <c r="C96" s="289">
        <v>49.0</v>
      </c>
      <c r="D96" s="403">
        <f>IFERROR(__xludf.DUMMYFUNCTION("if(B96&lt;=999,if(B96&lt;=99,IF(B96&lt;=9,join(,""000"",B96),join(,""00"",B96)),join(,""0"",B96)),B96)"),1214.0)</f>
        <v>1214</v>
      </c>
      <c r="E96" s="301" t="s">
        <v>246</v>
      </c>
      <c r="F96" s="325" t="s">
        <v>20</v>
      </c>
      <c r="G96" s="289" t="str">
        <f t="shared" si="22"/>
        <v>#REF!</v>
      </c>
      <c r="H96" s="408" t="s">
        <v>21</v>
      </c>
      <c r="I96" s="289" t="str">
        <f t="shared" si="23"/>
        <v>#REF!</v>
      </c>
      <c r="J96" s="400" t="s">
        <v>22</v>
      </c>
      <c r="K96" s="328" t="s">
        <v>20</v>
      </c>
      <c r="L96" s="329" t="s">
        <v>95</v>
      </c>
      <c r="M96" s="329" t="s">
        <v>247</v>
      </c>
      <c r="N96" s="401">
        <v>85.0</v>
      </c>
      <c r="O96" s="329" t="s">
        <v>25</v>
      </c>
      <c r="P96" s="329" t="s">
        <v>248</v>
      </c>
      <c r="Q96" s="414" t="s">
        <v>1330</v>
      </c>
    </row>
    <row r="97" hidden="1">
      <c r="A97" s="51">
        <v>1365.0</v>
      </c>
      <c r="B97" s="51">
        <v>1365.0</v>
      </c>
      <c r="C97" s="289">
        <v>50.0</v>
      </c>
      <c r="D97" s="289">
        <f>IFERROR(__xludf.DUMMYFUNCTION("if(B97&lt;=999,if(B97&lt;=99,IF(B97&lt;=9,join(,""000"",B97),join(,""00"",B97)),join(,""0"",B97)),B97)"),1365.0)</f>
        <v>1365</v>
      </c>
      <c r="E97" s="301" t="s">
        <v>249</v>
      </c>
      <c r="F97" s="325" t="s">
        <v>20</v>
      </c>
      <c r="G97" s="289" t="str">
        <f t="shared" si="22"/>
        <v>#REF!</v>
      </c>
      <c r="H97" s="408" t="s">
        <v>21</v>
      </c>
      <c r="I97" s="289" t="str">
        <f t="shared" si="23"/>
        <v>#REF!</v>
      </c>
      <c r="J97" s="400" t="s">
        <v>22</v>
      </c>
      <c r="K97" s="328" t="s">
        <v>20</v>
      </c>
      <c r="L97" s="329" t="s">
        <v>137</v>
      </c>
      <c r="M97" s="329" t="s">
        <v>250</v>
      </c>
      <c r="N97" s="401">
        <v>4.0</v>
      </c>
      <c r="O97" s="329" t="s">
        <v>25</v>
      </c>
      <c r="P97" s="329" t="s">
        <v>251</v>
      </c>
      <c r="Q97" s="414" t="s">
        <v>1330</v>
      </c>
    </row>
    <row r="98" hidden="1">
      <c r="A98" s="33">
        <v>212.0</v>
      </c>
      <c r="B98" s="34">
        <v>212.0</v>
      </c>
      <c r="C98" s="289"/>
      <c r="D98" s="403" t="str">
        <f>IFERROR(__xludf.DUMMYFUNCTION("if(B98&lt;=999,if(B98&lt;=99,IF(B98&lt;=9,join(,""000"",B98),join(,""00"",B98)),join(,""0"",B98)),B98)"),"0212")</f>
        <v>0212</v>
      </c>
      <c r="E98" s="297" t="s">
        <v>252</v>
      </c>
      <c r="F98" s="289" t="s">
        <v>20</v>
      </c>
      <c r="G98" s="289" t="str">
        <f t="shared" si="22"/>
        <v>#REF!</v>
      </c>
      <c r="H98" s="399" t="s">
        <v>21</v>
      </c>
      <c r="I98" s="289" t="str">
        <f t="shared" si="23"/>
        <v>#REF!</v>
      </c>
      <c r="J98" s="400" t="s">
        <v>22</v>
      </c>
      <c r="K98" s="290" t="s">
        <v>20</v>
      </c>
      <c r="L98" s="401" t="s">
        <v>95</v>
      </c>
      <c r="M98" s="401" t="s">
        <v>1539</v>
      </c>
      <c r="N98" s="401">
        <v>16.0</v>
      </c>
      <c r="O98" s="401" t="s">
        <v>25</v>
      </c>
      <c r="P98" s="401" t="s">
        <v>1540</v>
      </c>
      <c r="Q98" s="414" t="s">
        <v>1330</v>
      </c>
    </row>
    <row r="99" hidden="1">
      <c r="A99" s="33">
        <v>813.0</v>
      </c>
      <c r="B99" s="34">
        <v>813.0</v>
      </c>
      <c r="C99" s="298">
        <v>51.0</v>
      </c>
      <c r="D99" s="289" t="str">
        <f>IFERROR(__xludf.DUMMYFUNCTION("if(B99&lt;=999,if(B99&lt;=99,IF(B99&lt;=9,join(,""000"",B99),join(,""00"",B99)),join(,""0"",B99)),B99)"),"0813")</f>
        <v>0813</v>
      </c>
      <c r="E99" s="296" t="s">
        <v>253</v>
      </c>
      <c r="F99" s="289" t="s">
        <v>20</v>
      </c>
      <c r="G99" s="289" t="s">
        <v>1541</v>
      </c>
      <c r="H99" s="399" t="s">
        <v>21</v>
      </c>
      <c r="I99" s="289">
        <v>7.906091615E9</v>
      </c>
      <c r="J99" s="400" t="s">
        <v>34</v>
      </c>
      <c r="K99" s="290" t="s">
        <v>20</v>
      </c>
      <c r="L99" s="291" t="s">
        <v>254</v>
      </c>
      <c r="M99" s="291" t="s">
        <v>255</v>
      </c>
      <c r="N99" s="401"/>
      <c r="O99" s="291" t="s">
        <v>25</v>
      </c>
      <c r="P99" s="291" t="s">
        <v>256</v>
      </c>
      <c r="Q99" s="407" t="s">
        <v>1330</v>
      </c>
    </row>
    <row r="100" hidden="1">
      <c r="A100" s="33">
        <v>64.0</v>
      </c>
      <c r="B100" s="34">
        <v>64.0</v>
      </c>
      <c r="C100" s="289"/>
      <c r="D100" s="403" t="str">
        <f>IFERROR(__xludf.DUMMYFUNCTION("if(B100&lt;=999,if(B100&lt;=99,IF(B100&lt;=9,join(,""000"",B100),join(,""00"",B100)),join(,""0"",B100)),B100)"),"0064")</f>
        <v>0064</v>
      </c>
      <c r="E100" s="297" t="s">
        <v>257</v>
      </c>
      <c r="F100" s="289" t="s">
        <v>20</v>
      </c>
      <c r="G100" s="289" t="s">
        <v>1542</v>
      </c>
      <c r="H100" s="399" t="s">
        <v>21</v>
      </c>
      <c r="I100" s="289">
        <v>8.860075713E9</v>
      </c>
      <c r="J100" s="400" t="s">
        <v>77</v>
      </c>
      <c r="K100" s="290" t="s">
        <v>20</v>
      </c>
      <c r="L100" s="401" t="s">
        <v>95</v>
      </c>
      <c r="M100" s="401" t="s">
        <v>1543</v>
      </c>
      <c r="N100" s="401" t="e">
        <v>#N/A</v>
      </c>
      <c r="O100" s="401" t="s">
        <v>25</v>
      </c>
      <c r="P100" s="401" t="s">
        <v>55</v>
      </c>
      <c r="Q100" s="407" t="s">
        <v>1330</v>
      </c>
    </row>
    <row r="101" hidden="1">
      <c r="A101" s="33">
        <v>14.0</v>
      </c>
      <c r="B101" s="34">
        <v>14.0</v>
      </c>
      <c r="C101" s="289">
        <v>52.0</v>
      </c>
      <c r="D101" s="289" t="str">
        <f>IFERROR(__xludf.DUMMYFUNCTION("if(B101&lt;=999,if(B101&lt;=99,IF(B101&lt;=9,join(,""000"",B101),join(,""00"",B101)),join(,""0"",B101)),B101)"),"0014")</f>
        <v>0014</v>
      </c>
      <c r="E101" s="296" t="s">
        <v>259</v>
      </c>
      <c r="F101" s="289" t="s">
        <v>20</v>
      </c>
      <c r="G101" s="289" t="str">
        <f t="shared" ref="G101:G105" si="24">VLOOKUP(D101,'Copy of Form Responses; CCTV Infra 1'!$G$2:$I$675,2,false)</f>
        <v>#REF!</v>
      </c>
      <c r="H101" s="399" t="s">
        <v>21</v>
      </c>
      <c r="I101" s="289" t="str">
        <f t="shared" ref="I101:I105" si="25">VLOOKUP(D101,'Copy of Form Responses; CCTV Infra 1'!$G$2:$I$675,3,false)</f>
        <v>#REF!</v>
      </c>
      <c r="J101" s="400" t="s">
        <v>34</v>
      </c>
      <c r="K101" s="290" t="s">
        <v>20</v>
      </c>
      <c r="L101" s="401" t="s">
        <v>23</v>
      </c>
      <c r="M101" s="401" t="s">
        <v>260</v>
      </c>
      <c r="N101" s="401">
        <v>8000.0</v>
      </c>
      <c r="O101" s="401" t="s">
        <v>25</v>
      </c>
      <c r="P101" s="401" t="s">
        <v>261</v>
      </c>
      <c r="Q101" s="407" t="s">
        <v>1330</v>
      </c>
    </row>
    <row r="102" hidden="1">
      <c r="A102" s="51">
        <v>1447.0</v>
      </c>
      <c r="B102" s="51">
        <v>1447.0</v>
      </c>
      <c r="C102" s="289"/>
      <c r="D102" s="403">
        <f>IFERROR(__xludf.DUMMYFUNCTION("if(B102&lt;=999,if(B102&lt;=99,IF(B102&lt;=9,join(,""000"",B102),join(,""00"",B102)),join(,""0"",B102)),B102)"),1447.0)</f>
        <v>1447</v>
      </c>
      <c r="E102" s="326" t="s">
        <v>262</v>
      </c>
      <c r="F102" s="325" t="s">
        <v>20</v>
      </c>
      <c r="G102" s="289" t="str">
        <f t="shared" si="24"/>
        <v>#REF!</v>
      </c>
      <c r="H102" s="408" t="s">
        <v>21</v>
      </c>
      <c r="I102" s="289" t="str">
        <f t="shared" si="25"/>
        <v>#REF!</v>
      </c>
      <c r="J102" s="400" t="s">
        <v>34</v>
      </c>
      <c r="K102" s="328" t="s">
        <v>20</v>
      </c>
      <c r="L102" s="329" t="s">
        <v>95</v>
      </c>
      <c r="M102" s="291" t="s">
        <v>1544</v>
      </c>
      <c r="N102" s="401" t="s">
        <v>264</v>
      </c>
      <c r="O102" s="439" t="s">
        <v>25</v>
      </c>
      <c r="P102" s="439" t="s">
        <v>55</v>
      </c>
      <c r="Q102" s="414" t="s">
        <v>1330</v>
      </c>
    </row>
    <row r="103" hidden="1">
      <c r="A103" s="51">
        <v>539.0</v>
      </c>
      <c r="B103" s="51">
        <v>539.0</v>
      </c>
      <c r="C103" s="260">
        <v>11.0</v>
      </c>
      <c r="D103" s="260" t="str">
        <f>IFERROR(__xludf.DUMMYFUNCTION("if(B103&lt;=999,if(B103&lt;=99,IF(B103&lt;=9,join(,""000"",B103),join(,""00"",B103)),join(,""0"",B103)),B103)"),"0539")</f>
        <v>0539</v>
      </c>
      <c r="E103" s="270" t="s">
        <v>184</v>
      </c>
      <c r="F103" s="260" t="s">
        <v>20</v>
      </c>
      <c r="G103" s="260" t="str">
        <f t="shared" si="24"/>
        <v>#REF!</v>
      </c>
      <c r="H103" s="410" t="s">
        <v>21</v>
      </c>
      <c r="I103" s="260" t="str">
        <f t="shared" si="25"/>
        <v>#REF!</v>
      </c>
      <c r="J103" s="264" t="s">
        <v>77</v>
      </c>
      <c r="K103" s="411" t="str">
        <f>vlookup(D103,'Elligible Training Institutes R'!$D$9:$L$19,8,false)</f>
        <v>#N/A</v>
      </c>
      <c r="L103" s="329"/>
      <c r="M103" s="329" t="s">
        <v>1545</v>
      </c>
      <c r="N103" s="401">
        <v>80.0</v>
      </c>
      <c r="O103" s="329" t="s">
        <v>25</v>
      </c>
      <c r="P103" s="329" t="s">
        <v>383</v>
      </c>
      <c r="Q103" s="412" t="s">
        <v>1546</v>
      </c>
    </row>
    <row r="104">
      <c r="A104" s="51">
        <v>1282.0</v>
      </c>
      <c r="B104" s="51">
        <v>1282.0</v>
      </c>
      <c r="C104" s="260">
        <v>11.0</v>
      </c>
      <c r="D104" s="260">
        <f>IFERROR(__xludf.DUMMYFUNCTION("if(B104&lt;=999,if(B104&lt;=99,IF(B104&lt;=9,join(,""000"",B104),join(,""00"",B104)),join(,""0"",B104)),B104)"),1282.0)</f>
        <v>1282</v>
      </c>
      <c r="E104" s="270" t="s">
        <v>552</v>
      </c>
      <c r="F104" s="260" t="s">
        <v>20</v>
      </c>
      <c r="G104" s="260" t="str">
        <f t="shared" si="24"/>
        <v>#REF!</v>
      </c>
      <c r="H104" s="410" t="s">
        <v>21</v>
      </c>
      <c r="I104" s="260" t="str">
        <f t="shared" si="25"/>
        <v>#REF!</v>
      </c>
      <c r="J104" s="264" t="s">
        <v>101</v>
      </c>
      <c r="K104" s="411" t="str">
        <f>vlookup(D104,'Elligible Training Institutes R'!$D$9:$L$19,9,false)</f>
        <v>#N/A</v>
      </c>
      <c r="L104" s="329" t="s">
        <v>783</v>
      </c>
      <c r="M104" s="329"/>
      <c r="N104" s="401">
        <v>80.0</v>
      </c>
      <c r="O104" s="329"/>
      <c r="P104" s="329"/>
      <c r="Q104" s="412" t="s">
        <v>1547</v>
      </c>
    </row>
    <row r="105" hidden="1">
      <c r="A105" s="33">
        <v>150.0</v>
      </c>
      <c r="B105" s="34">
        <v>150.0</v>
      </c>
      <c r="C105" s="289">
        <v>53.0</v>
      </c>
      <c r="D105" s="403" t="str">
        <f>IFERROR(__xludf.DUMMYFUNCTION("if(B105&lt;=999,if(B105&lt;=99,IF(B105&lt;=9,join(,""000"",B105),join(,""00"",B105)),join(,""0"",B105)),B105)"),"0150")</f>
        <v>0150</v>
      </c>
      <c r="E105" s="296" t="s">
        <v>268</v>
      </c>
      <c r="F105" s="289" t="s">
        <v>20</v>
      </c>
      <c r="G105" s="289" t="str">
        <f t="shared" si="24"/>
        <v>#REF!</v>
      </c>
      <c r="H105" s="399" t="s">
        <v>21</v>
      </c>
      <c r="I105" s="289" t="str">
        <f t="shared" si="25"/>
        <v>#REF!</v>
      </c>
      <c r="J105" s="404"/>
      <c r="K105" s="290" t="s">
        <v>20</v>
      </c>
      <c r="L105" s="329" t="s">
        <v>95</v>
      </c>
      <c r="M105" s="463" t="s">
        <v>1548</v>
      </c>
      <c r="N105" s="463" t="str">
        <f>vlookup(A105,#REF!,11,false)</f>
        <v>#REF!</v>
      </c>
      <c r="O105" s="463" t="s">
        <v>25</v>
      </c>
      <c r="P105" s="463">
        <v>12345.0</v>
      </c>
      <c r="Q105" s="407" t="s">
        <v>1330</v>
      </c>
    </row>
    <row r="106" hidden="1">
      <c r="A106" s="51">
        <v>43.0</v>
      </c>
      <c r="B106" s="51">
        <v>43.0</v>
      </c>
      <c r="C106" s="298">
        <v>54.0</v>
      </c>
      <c r="D106" s="289" t="str">
        <f>IFERROR(__xludf.DUMMYFUNCTION("if(B106&lt;=999,if(B106&lt;=99,IF(B106&lt;=9,join(,""000"",B106),join(,""00"",B106)),join(,""0"",B106)),B106)"),"0043")</f>
        <v>0043</v>
      </c>
      <c r="E106" s="301" t="s">
        <v>269</v>
      </c>
      <c r="F106" s="325" t="s">
        <v>20</v>
      </c>
      <c r="G106" s="289" t="s">
        <v>1549</v>
      </c>
      <c r="H106" s="408" t="s">
        <v>21</v>
      </c>
      <c r="I106" s="289">
        <v>8.433189358E9</v>
      </c>
      <c r="J106" s="400" t="s">
        <v>99</v>
      </c>
      <c r="K106" s="328" t="s">
        <v>20</v>
      </c>
      <c r="L106" s="291" t="s">
        <v>270</v>
      </c>
      <c r="M106" s="291" t="s">
        <v>271</v>
      </c>
      <c r="N106" s="401" t="e">
        <v>#N/A</v>
      </c>
      <c r="O106" s="439" t="s">
        <v>25</v>
      </c>
      <c r="P106" s="439" t="s">
        <v>272</v>
      </c>
      <c r="Q106" s="407" t="s">
        <v>1330</v>
      </c>
    </row>
    <row r="107" hidden="1">
      <c r="A107" s="33">
        <v>1354.0</v>
      </c>
      <c r="B107" s="34">
        <v>1354.0</v>
      </c>
      <c r="C107" s="289"/>
      <c r="D107" s="289">
        <f>IFERROR(__xludf.DUMMYFUNCTION("if(B107&lt;=999,if(B107&lt;=99,IF(B107&lt;=9,join(,""000"",B107),join(,""00"",B107)),join(,""0"",B107)),B107)"),1354.0)</f>
        <v>1354</v>
      </c>
      <c r="E107" s="297" t="s">
        <v>273</v>
      </c>
      <c r="F107" s="289" t="s">
        <v>20</v>
      </c>
      <c r="G107" s="289" t="str">
        <f t="shared" ref="G107:G109" si="26">VLOOKUP(D107,'Copy of Form Responses; CCTV Infra 1'!$G$2:$I$675,2,false)</f>
        <v>#REF!</v>
      </c>
      <c r="H107" s="399" t="s">
        <v>21</v>
      </c>
      <c r="I107" s="289" t="str">
        <f t="shared" ref="I107:I109" si="27">VLOOKUP(D107,'Copy of Form Responses; CCTV Infra 1'!$G$2:$I$675,3,false)</f>
        <v>#REF!</v>
      </c>
      <c r="J107" s="400" t="s">
        <v>99</v>
      </c>
      <c r="K107" s="290" t="s">
        <v>20</v>
      </c>
      <c r="L107" s="401"/>
      <c r="M107" s="401" t="s">
        <v>1550</v>
      </c>
      <c r="N107" s="401">
        <v>32.0</v>
      </c>
      <c r="O107" s="401" t="s">
        <v>25</v>
      </c>
      <c r="P107" s="401" t="s">
        <v>342</v>
      </c>
      <c r="Q107" s="414" t="s">
        <v>1330</v>
      </c>
    </row>
    <row r="108" hidden="1">
      <c r="A108" s="33">
        <v>1135.0</v>
      </c>
      <c r="B108" s="34">
        <v>1135.0</v>
      </c>
      <c r="C108" s="289"/>
      <c r="D108" s="289">
        <f>IFERROR(__xludf.DUMMYFUNCTION("if(B108&lt;=999,if(B108&lt;=99,IF(B108&lt;=9,join(,""000"",B108),join(,""00"",B108)),join(,""0"",B108)),B108)"),1135.0)</f>
        <v>1135</v>
      </c>
      <c r="E108" s="297" t="s">
        <v>274</v>
      </c>
      <c r="F108" s="289" t="s">
        <v>20</v>
      </c>
      <c r="G108" s="289" t="str">
        <f t="shared" si="26"/>
        <v>#REF!</v>
      </c>
      <c r="H108" s="399" t="s">
        <v>21</v>
      </c>
      <c r="I108" s="289" t="str">
        <f t="shared" si="27"/>
        <v>#REF!</v>
      </c>
      <c r="J108" s="400" t="s">
        <v>101</v>
      </c>
      <c r="K108" s="290" t="s">
        <v>20</v>
      </c>
      <c r="L108" s="401" t="s">
        <v>23</v>
      </c>
      <c r="M108" s="401" t="s">
        <v>1551</v>
      </c>
      <c r="N108" s="401" t="s">
        <v>275</v>
      </c>
      <c r="O108" s="401" t="s">
        <v>104</v>
      </c>
      <c r="P108" s="401" t="s">
        <v>1552</v>
      </c>
      <c r="Q108" s="414" t="s">
        <v>1330</v>
      </c>
    </row>
    <row r="109" hidden="1">
      <c r="A109" s="51">
        <v>1113.0</v>
      </c>
      <c r="B109" s="51">
        <v>1113.0</v>
      </c>
      <c r="C109" s="289"/>
      <c r="D109" s="289">
        <f>IFERROR(__xludf.DUMMYFUNCTION("if(B109&lt;=999,if(B109&lt;=99,IF(B109&lt;=9,join(,""000"",B109),join(,""00"",B109)),join(,""0"",B109)),B109)"),1113.0)</f>
        <v>1113</v>
      </c>
      <c r="E109" s="326" t="s">
        <v>276</v>
      </c>
      <c r="F109" s="325" t="s">
        <v>20</v>
      </c>
      <c r="G109" s="289" t="str">
        <f t="shared" si="26"/>
        <v>#REF!</v>
      </c>
      <c r="H109" s="408" t="s">
        <v>21</v>
      </c>
      <c r="I109" s="289" t="str">
        <f t="shared" si="27"/>
        <v>#REF!</v>
      </c>
      <c r="J109" s="400" t="s">
        <v>101</v>
      </c>
      <c r="K109" s="328" t="s">
        <v>20</v>
      </c>
      <c r="L109" s="329" t="s">
        <v>23</v>
      </c>
      <c r="M109" s="329" t="s">
        <v>1551</v>
      </c>
      <c r="N109" s="401" t="s">
        <v>275</v>
      </c>
      <c r="O109" s="329" t="s">
        <v>104</v>
      </c>
      <c r="P109" s="329" t="s">
        <v>1552</v>
      </c>
      <c r="Q109" s="414" t="s">
        <v>1330</v>
      </c>
    </row>
    <row r="110" hidden="1">
      <c r="A110" s="51">
        <v>1373.0</v>
      </c>
      <c r="B110" s="51">
        <v>1373.0</v>
      </c>
      <c r="C110" s="289">
        <v>55.0</v>
      </c>
      <c r="D110" s="289">
        <f>IFERROR(__xludf.DUMMYFUNCTION("if(B110&lt;=999,if(B110&lt;=99,IF(B110&lt;=9,join(,""000"",B110),join(,""00"",B110)),join(,""0"",B110)),B110)"),1373.0)</f>
        <v>1373</v>
      </c>
      <c r="E110" s="301" t="s">
        <v>277</v>
      </c>
      <c r="F110" s="325" t="s">
        <v>20</v>
      </c>
      <c r="G110" s="289" t="s">
        <v>1553</v>
      </c>
      <c r="H110" s="408" t="s">
        <v>21</v>
      </c>
      <c r="I110" s="289">
        <v>9.897595955E9</v>
      </c>
      <c r="J110" s="400" t="s">
        <v>101</v>
      </c>
      <c r="K110" s="328" t="s">
        <v>20</v>
      </c>
      <c r="L110" s="329" t="s">
        <v>23</v>
      </c>
      <c r="M110" s="329" t="s">
        <v>278</v>
      </c>
      <c r="N110" s="401" t="e">
        <v>#N/A</v>
      </c>
      <c r="O110" s="329" t="s">
        <v>279</v>
      </c>
      <c r="P110" s="329" t="s">
        <v>280</v>
      </c>
      <c r="Q110" s="407" t="s">
        <v>1330</v>
      </c>
    </row>
    <row r="111" hidden="1">
      <c r="A111" s="51">
        <v>1151.0</v>
      </c>
      <c r="B111" s="51">
        <v>1151.0</v>
      </c>
      <c r="C111" s="289">
        <v>56.0</v>
      </c>
      <c r="D111" s="289">
        <f>IFERROR(__xludf.DUMMYFUNCTION("if(B111&lt;=999,if(B111&lt;=99,IF(B111&lt;=9,join(,""000"",B111),join(,""00"",B111)),join(,""0"",B111)),B111)"),1151.0)</f>
        <v>1151</v>
      </c>
      <c r="E111" s="301" t="s">
        <v>281</v>
      </c>
      <c r="F111" s="325" t="s">
        <v>20</v>
      </c>
      <c r="G111" s="289" t="str">
        <f t="shared" ref="G111:G112" si="28">VLOOKUP(D111,'Copy of Form Responses; CCTV Infra 1'!$G$2:$I$675,2,false)</f>
        <v>#REF!</v>
      </c>
      <c r="H111" s="408" t="s">
        <v>21</v>
      </c>
      <c r="I111" s="289" t="str">
        <f t="shared" ref="I111:I112" si="29">VLOOKUP(D111,'Copy of Form Responses; CCTV Infra 1'!$G$2:$I$675,3,false)</f>
        <v>#REF!</v>
      </c>
      <c r="J111" s="400" t="s">
        <v>77</v>
      </c>
      <c r="K111" s="328" t="s">
        <v>20</v>
      </c>
      <c r="L111" s="329" t="s">
        <v>23</v>
      </c>
      <c r="M111" s="329" t="s">
        <v>278</v>
      </c>
      <c r="N111" s="401">
        <v>8004.0</v>
      </c>
      <c r="O111" s="329" t="s">
        <v>279</v>
      </c>
      <c r="P111" s="329" t="s">
        <v>280</v>
      </c>
      <c r="Q111" s="407" t="s">
        <v>1330</v>
      </c>
    </row>
    <row r="112" hidden="1">
      <c r="A112" s="45">
        <v>1423.0</v>
      </c>
      <c r="B112" s="45">
        <v>1423.0</v>
      </c>
      <c r="C112" s="298"/>
      <c r="D112" s="298">
        <f>IFERROR(__xludf.DUMMYFUNCTION("if(B112&lt;=999,if(B112&lt;=99,IF(B112&lt;=9,join(,""000"",B112),join(,""00"",B112)),join(,""0"",B112)),B112)"),1423.0)</f>
        <v>1423</v>
      </c>
      <c r="E112" s="302" t="s">
        <v>282</v>
      </c>
      <c r="F112" s="298" t="s">
        <v>20</v>
      </c>
      <c r="G112" s="298" t="str">
        <f t="shared" si="28"/>
        <v>#REF!</v>
      </c>
      <c r="H112" s="298" t="s">
        <v>21</v>
      </c>
      <c r="I112" s="298" t="str">
        <f t="shared" si="29"/>
        <v>#REF!</v>
      </c>
      <c r="J112" s="405" t="s">
        <v>77</v>
      </c>
      <c r="K112" s="406" t="s">
        <v>20</v>
      </c>
      <c r="L112" s="329" t="s">
        <v>23</v>
      </c>
      <c r="M112" s="407" t="s">
        <v>283</v>
      </c>
      <c r="N112" s="407"/>
      <c r="O112" s="407" t="s">
        <v>25</v>
      </c>
      <c r="P112" s="407" t="s">
        <v>86</v>
      </c>
      <c r="Q112" s="407" t="s">
        <v>1330</v>
      </c>
    </row>
    <row r="113" hidden="1">
      <c r="A113" s="33">
        <v>82.0</v>
      </c>
      <c r="B113" s="34">
        <v>82.0</v>
      </c>
      <c r="C113" s="289"/>
      <c r="D113" s="289" t="str">
        <f>IFERROR(__xludf.DUMMYFUNCTION("if(B113&lt;=999,if(B113&lt;=99,IF(B113&lt;=9,join(,""000"",B113),join(,""00"",B113)),join(,""0"",B113)),B113)"),"0082")</f>
        <v>0082</v>
      </c>
      <c r="E113" s="297" t="s">
        <v>284</v>
      </c>
      <c r="F113" s="289" t="s">
        <v>20</v>
      </c>
      <c r="G113" s="289" t="s">
        <v>1554</v>
      </c>
      <c r="H113" s="399" t="s">
        <v>21</v>
      </c>
      <c r="I113" s="289">
        <v>9.557917533E9</v>
      </c>
      <c r="J113" s="400" t="s">
        <v>77</v>
      </c>
      <c r="K113" s="290" t="s">
        <v>20</v>
      </c>
      <c r="L113" s="329" t="s">
        <v>23</v>
      </c>
      <c r="M113" s="401" t="s">
        <v>283</v>
      </c>
      <c r="N113" s="401"/>
      <c r="O113" s="401" t="s">
        <v>25</v>
      </c>
      <c r="P113" s="401" t="s">
        <v>86</v>
      </c>
      <c r="Q113" s="407" t="s">
        <v>1330</v>
      </c>
    </row>
    <row r="114" hidden="1">
      <c r="A114" s="55">
        <v>1241.0</v>
      </c>
      <c r="B114" s="55">
        <v>1241.0</v>
      </c>
      <c r="C114" s="298">
        <v>57.0</v>
      </c>
      <c r="D114" s="298">
        <f>IFERROR(__xludf.DUMMYFUNCTION("if(B114&lt;=999,if(B114&lt;=99,IF(B114&lt;=9,join(,""000"",B114),join(,""00"",B114)),join(,""0"",B114)),B114)"),1241.0)</f>
        <v>1241</v>
      </c>
      <c r="E114" s="425" t="s">
        <v>285</v>
      </c>
      <c r="F114" s="426" t="s">
        <v>20</v>
      </c>
      <c r="G114" s="298" t="str">
        <f t="shared" ref="G114:G117" si="30">VLOOKUP(D114,'Copy of Form Responses; CCTV Infra 1'!$G$2:$I$675,2,false)</f>
        <v>#REF!</v>
      </c>
      <c r="H114" s="426" t="s">
        <v>21</v>
      </c>
      <c r="I114" s="298" t="str">
        <f t="shared" ref="I114:I117" si="31">VLOOKUP(D114,'Copy of Form Responses; CCTV Infra 1'!$G$2:$I$675,3,false)</f>
        <v>#REF!</v>
      </c>
      <c r="J114" s="405" t="s">
        <v>77</v>
      </c>
      <c r="K114" s="427" t="s">
        <v>20</v>
      </c>
      <c r="L114" s="414" t="s">
        <v>137</v>
      </c>
      <c r="M114" s="414" t="s">
        <v>286</v>
      </c>
      <c r="N114" s="407"/>
      <c r="O114" s="414" t="s">
        <v>288</v>
      </c>
      <c r="P114" s="414" t="s">
        <v>272</v>
      </c>
      <c r="Q114" s="407" t="s">
        <v>1330</v>
      </c>
    </row>
    <row r="115" hidden="1">
      <c r="A115" s="55">
        <v>1072.0</v>
      </c>
      <c r="B115" s="55">
        <v>1072.0</v>
      </c>
      <c r="C115" s="289">
        <v>58.0</v>
      </c>
      <c r="D115" s="298">
        <f>IFERROR(__xludf.DUMMYFUNCTION("if(B115&lt;=999,if(B115&lt;=99,IF(B115&lt;=9,join(,""000"",B115),join(,""00"",B115)),join(,""0"",B115)),B115)"),1072.0)</f>
        <v>1072</v>
      </c>
      <c r="E115" s="425" t="s">
        <v>290</v>
      </c>
      <c r="F115" s="426" t="s">
        <v>20</v>
      </c>
      <c r="G115" s="298" t="str">
        <f t="shared" si="30"/>
        <v>#REF!</v>
      </c>
      <c r="H115" s="426" t="s">
        <v>21</v>
      </c>
      <c r="I115" s="298" t="str">
        <f t="shared" si="31"/>
        <v>#REF!</v>
      </c>
      <c r="J115" s="405" t="s">
        <v>60</v>
      </c>
      <c r="K115" s="427" t="s">
        <v>20</v>
      </c>
      <c r="L115" s="414" t="s">
        <v>137</v>
      </c>
      <c r="M115" s="402" t="s">
        <v>286</v>
      </c>
      <c r="N115" s="407"/>
      <c r="O115" s="402" t="s">
        <v>288</v>
      </c>
      <c r="P115" s="402" t="s">
        <v>272</v>
      </c>
      <c r="Q115" s="407" t="s">
        <v>1330</v>
      </c>
    </row>
    <row r="116" hidden="1">
      <c r="A116" s="55">
        <v>424.0</v>
      </c>
      <c r="B116" s="55">
        <v>424.0</v>
      </c>
      <c r="C116" s="289">
        <v>59.0</v>
      </c>
      <c r="D116" s="298" t="str">
        <f>IFERROR(__xludf.DUMMYFUNCTION("if(B116&lt;=999,if(B116&lt;=99,IF(B116&lt;=9,join(,""000"",B116),join(,""00"",B116)),join(,""0"",B116)),B116)"),"0424")</f>
        <v>0424</v>
      </c>
      <c r="E116" s="425" t="s">
        <v>293</v>
      </c>
      <c r="F116" s="426" t="s">
        <v>20</v>
      </c>
      <c r="G116" s="298" t="str">
        <f t="shared" si="30"/>
        <v>#REF!</v>
      </c>
      <c r="H116" s="426" t="s">
        <v>21</v>
      </c>
      <c r="I116" s="298" t="str">
        <f t="shared" si="31"/>
        <v>#REF!</v>
      </c>
      <c r="J116" s="405" t="s">
        <v>63</v>
      </c>
      <c r="K116" s="427" t="s">
        <v>20</v>
      </c>
      <c r="L116" s="414" t="s">
        <v>294</v>
      </c>
      <c r="M116" s="414" t="s">
        <v>295</v>
      </c>
      <c r="N116" s="407" t="s">
        <v>287</v>
      </c>
      <c r="O116" s="414" t="s">
        <v>25</v>
      </c>
      <c r="P116" s="414" t="s">
        <v>272</v>
      </c>
      <c r="Q116" s="407" t="s">
        <v>1330</v>
      </c>
    </row>
    <row r="117" hidden="1">
      <c r="A117" s="51">
        <v>1103.0</v>
      </c>
      <c r="B117" s="51">
        <v>1103.0</v>
      </c>
      <c r="C117" s="289"/>
      <c r="D117" s="289">
        <f>IFERROR(__xludf.DUMMYFUNCTION("if(B117&lt;=999,if(B117&lt;=99,IF(B117&lt;=9,join(,""000"",B117),join(,""00"",B117)),join(,""0"",B117)),B117)"),1103.0)</f>
        <v>1103</v>
      </c>
      <c r="E117" s="326" t="s">
        <v>297</v>
      </c>
      <c r="F117" s="325" t="s">
        <v>20</v>
      </c>
      <c r="G117" s="289" t="str">
        <f t="shared" si="30"/>
        <v>#REF!</v>
      </c>
      <c r="H117" s="408" t="s">
        <v>21</v>
      </c>
      <c r="I117" s="289" t="str">
        <f t="shared" si="31"/>
        <v>#REF!</v>
      </c>
      <c r="J117" s="400" t="s">
        <v>22</v>
      </c>
      <c r="K117" s="328" t="s">
        <v>20</v>
      </c>
      <c r="L117" s="329" t="s">
        <v>23</v>
      </c>
      <c r="M117" s="447" t="s">
        <v>1555</v>
      </c>
      <c r="N117" s="464" t="e">
        <v>#N/A</v>
      </c>
      <c r="O117" s="447" t="s">
        <v>25</v>
      </c>
      <c r="P117" s="329" t="s">
        <v>55</v>
      </c>
      <c r="Q117" s="402" t="s">
        <v>1330</v>
      </c>
    </row>
    <row r="118" hidden="1">
      <c r="A118" s="51">
        <v>533.0</v>
      </c>
      <c r="B118" s="51">
        <v>533.0</v>
      </c>
      <c r="C118" s="289"/>
      <c r="D118" s="289" t="str">
        <f>IFERROR(__xludf.DUMMYFUNCTION("if(B118&lt;=999,if(B118&lt;=99,IF(B118&lt;=9,join(,""000"",B118),join(,""00"",B118)),join(,""0"",B118)),B118)"),"0533")</f>
        <v>0533</v>
      </c>
      <c r="E118" s="326" t="s">
        <v>300</v>
      </c>
      <c r="F118" s="325" t="s">
        <v>20</v>
      </c>
      <c r="G118" s="289" t="s">
        <v>1556</v>
      </c>
      <c r="H118" s="408" t="s">
        <v>21</v>
      </c>
      <c r="I118" s="289">
        <v>9.33614215E9</v>
      </c>
      <c r="J118" s="400" t="s">
        <v>22</v>
      </c>
      <c r="K118" s="328" t="s">
        <v>20</v>
      </c>
      <c r="L118" s="329" t="s">
        <v>23</v>
      </c>
      <c r="M118" s="329" t="s">
        <v>1555</v>
      </c>
      <c r="N118" s="401" t="e">
        <v>#N/A</v>
      </c>
      <c r="O118" s="329" t="s">
        <v>25</v>
      </c>
      <c r="P118" s="329" t="s">
        <v>55</v>
      </c>
      <c r="Q118" s="402" t="s">
        <v>1330</v>
      </c>
    </row>
    <row r="119">
      <c r="A119" s="51">
        <v>687.0</v>
      </c>
      <c r="B119" s="51">
        <v>687.0</v>
      </c>
      <c r="C119" s="260">
        <v>12.0</v>
      </c>
      <c r="D119" s="260" t="str">
        <f>IFERROR(__xludf.DUMMYFUNCTION("if(B119&lt;=999,if(B119&lt;=99,IF(B119&lt;=9,join(,""000"",B119),join(,""00"",B119)),join(,""0"",B119)),B119)"),"0687")</f>
        <v>0687</v>
      </c>
      <c r="E119" s="270" t="s">
        <v>302</v>
      </c>
      <c r="F119" s="260" t="s">
        <v>35</v>
      </c>
      <c r="G119" s="260" t="str">
        <f t="shared" ref="G119:G127" si="32">VLOOKUP(D119,'Copy of Form Responses; CCTV Infra 1'!$G$2:$I$675,2,false)</f>
        <v>#REF!</v>
      </c>
      <c r="H119" s="410" t="s">
        <v>21</v>
      </c>
      <c r="I119" s="260" t="str">
        <f t="shared" ref="I119:I120" si="33">VLOOKUP(D119,'Copy of Form Responses; CCTV Infra 1'!$G$2:$I$675,3,false)</f>
        <v>#REF!</v>
      </c>
      <c r="J119" s="271"/>
      <c r="K119" s="411" t="str">
        <f>vlookup(D119,'Elligible Training Institutes R'!$D$9:$L$19,9,false)</f>
        <v>#N/A</v>
      </c>
      <c r="L119" s="329"/>
      <c r="M119" s="329"/>
      <c r="N119" s="401" t="e">
        <v>#N/A</v>
      </c>
      <c r="O119" s="329"/>
      <c r="P119" s="329"/>
      <c r="Q119" s="412" t="s">
        <v>1423</v>
      </c>
    </row>
    <row r="120" hidden="1">
      <c r="A120" s="324">
        <v>242.0</v>
      </c>
      <c r="B120" s="324">
        <v>242.0</v>
      </c>
      <c r="C120" s="418"/>
      <c r="D120" s="418" t="str">
        <f>IFERROR(__xludf.DUMMYFUNCTION("if(B120&lt;=999,if(B120&lt;=99,IF(B120&lt;=9,join(,""000"",B120),join(,""00"",B120)),join(,""0"",B120)),B120)"),"0242")</f>
        <v>0242</v>
      </c>
      <c r="E120" s="442" t="s">
        <v>303</v>
      </c>
      <c r="F120" s="418" t="s">
        <v>20</v>
      </c>
      <c r="G120" s="418" t="str">
        <f t="shared" si="32"/>
        <v>#REF!</v>
      </c>
      <c r="H120" s="419" t="s">
        <v>21</v>
      </c>
      <c r="I120" s="418" t="str">
        <f t="shared" si="33"/>
        <v>#REF!</v>
      </c>
      <c r="J120" s="420" t="s">
        <v>77</v>
      </c>
      <c r="K120" s="421" t="s">
        <v>20</v>
      </c>
      <c r="L120" s="422" t="s">
        <v>95</v>
      </c>
      <c r="M120" s="465" t="s">
        <v>1543</v>
      </c>
      <c r="N120" s="422">
        <v>8.0</v>
      </c>
      <c r="O120" s="422" t="s">
        <v>25</v>
      </c>
      <c r="P120" s="422" t="s">
        <v>55</v>
      </c>
      <c r="Q120" s="466" t="s">
        <v>1330</v>
      </c>
    </row>
    <row r="121" hidden="1">
      <c r="A121" s="51">
        <v>249.0</v>
      </c>
      <c r="B121" s="51">
        <v>249.0</v>
      </c>
      <c r="C121" s="289"/>
      <c r="D121" s="289" t="str">
        <f>IFERROR(__xludf.DUMMYFUNCTION("if(B121&lt;=999,if(B121&lt;=99,IF(B121&lt;=9,join(,""000"",B121),join(,""00"",B121)),join(,""0"",B121)),B121)"),"0249")</f>
        <v>0249</v>
      </c>
      <c r="E121" s="326" t="s">
        <v>304</v>
      </c>
      <c r="F121" s="325" t="s">
        <v>35</v>
      </c>
      <c r="G121" s="289" t="str">
        <f t="shared" si="32"/>
        <v>#REF!</v>
      </c>
      <c r="H121" s="408" t="s">
        <v>21</v>
      </c>
      <c r="I121" s="289" t="s">
        <v>1557</v>
      </c>
      <c r="J121" s="404"/>
      <c r="K121" s="328" t="s">
        <v>20</v>
      </c>
      <c r="L121" s="329" t="s">
        <v>23</v>
      </c>
      <c r="M121" s="329" t="s">
        <v>1558</v>
      </c>
      <c r="N121" s="401"/>
      <c r="O121" s="329" t="s">
        <v>25</v>
      </c>
      <c r="P121" s="329" t="s">
        <v>55</v>
      </c>
      <c r="Q121" s="402" t="s">
        <v>1330</v>
      </c>
    </row>
    <row r="122">
      <c r="A122" s="51">
        <v>233.0</v>
      </c>
      <c r="B122" s="51">
        <v>233.0</v>
      </c>
      <c r="C122" s="260">
        <v>13.0</v>
      </c>
      <c r="D122" s="260" t="str">
        <f>IFERROR(__xludf.DUMMYFUNCTION("if(B122&lt;=999,if(B122&lt;=99,IF(B122&lt;=9,join(,""000"",B122),join(,""00"",B122)),join(,""0"",B122)),B122)"),"0233")</f>
        <v>0233</v>
      </c>
      <c r="E122" s="270" t="s">
        <v>224</v>
      </c>
      <c r="F122" s="260" t="s">
        <v>20</v>
      </c>
      <c r="G122" s="260" t="str">
        <f t="shared" si="32"/>
        <v>#REF!</v>
      </c>
      <c r="H122" s="410" t="s">
        <v>21</v>
      </c>
      <c r="I122" s="260" t="str">
        <f t="shared" ref="I122:I127" si="34">VLOOKUP(D122,'Copy of Form Responses; CCTV Infra 1'!$G$2:$I$675,3,false)</f>
        <v>#REF!</v>
      </c>
      <c r="J122" s="264" t="s">
        <v>60</v>
      </c>
      <c r="K122" s="411" t="str">
        <f>vlookup(D122,'Elligible Training Institutes R'!$D$9:$L$19,9,false)</f>
        <v>#N/A</v>
      </c>
      <c r="L122" s="329"/>
      <c r="M122" s="329" t="s">
        <v>1426</v>
      </c>
      <c r="N122" s="401" t="s">
        <v>225</v>
      </c>
      <c r="O122" s="439" t="s">
        <v>25</v>
      </c>
      <c r="P122" s="401" t="s">
        <v>55</v>
      </c>
      <c r="Q122" s="412" t="s">
        <v>1427</v>
      </c>
    </row>
    <row r="123" hidden="1">
      <c r="A123" s="51">
        <v>1182.0</v>
      </c>
      <c r="B123" s="51">
        <v>1182.0</v>
      </c>
      <c r="C123" s="289"/>
      <c r="D123" s="289">
        <f>IFERROR(__xludf.DUMMYFUNCTION("if(B123&lt;=999,if(B123&lt;=99,IF(B123&lt;=9,join(,""000"",B123),join(,""00"",B123)),join(,""0"",B123)),B123)"),1182.0)</f>
        <v>1182</v>
      </c>
      <c r="E123" s="326" t="s">
        <v>306</v>
      </c>
      <c r="F123" s="325" t="s">
        <v>20</v>
      </c>
      <c r="G123" s="289" t="str">
        <f t="shared" si="32"/>
        <v>#REF!</v>
      </c>
      <c r="H123" s="408" t="s">
        <v>21</v>
      </c>
      <c r="I123" s="289" t="str">
        <f t="shared" si="34"/>
        <v>#REF!</v>
      </c>
      <c r="J123" s="400" t="s">
        <v>22</v>
      </c>
      <c r="K123" s="328" t="s">
        <v>20</v>
      </c>
      <c r="L123" s="329" t="s">
        <v>23</v>
      </c>
      <c r="M123" s="329" t="s">
        <v>1559</v>
      </c>
      <c r="N123" s="401">
        <v>80.0</v>
      </c>
      <c r="O123" s="329" t="s">
        <v>1560</v>
      </c>
      <c r="P123" s="329" t="s">
        <v>1561</v>
      </c>
      <c r="Q123" s="402" t="s">
        <v>1330</v>
      </c>
    </row>
    <row r="124" hidden="1">
      <c r="A124" s="51">
        <v>224.0</v>
      </c>
      <c r="B124" s="51">
        <v>224.0</v>
      </c>
      <c r="C124" s="298">
        <v>60.0</v>
      </c>
      <c r="D124" s="289" t="str">
        <f>IFERROR(__xludf.DUMMYFUNCTION("if(B124&lt;=999,if(B124&lt;=99,IF(B124&lt;=9,join(,""000"",B124),join(,""00"",B124)),join(,""0"",B124)),B124)"),"0224")</f>
        <v>0224</v>
      </c>
      <c r="E124" s="301" t="s">
        <v>307</v>
      </c>
      <c r="F124" s="325" t="s">
        <v>20</v>
      </c>
      <c r="G124" s="289" t="str">
        <f t="shared" si="32"/>
        <v>#REF!</v>
      </c>
      <c r="H124" s="408" t="s">
        <v>21</v>
      </c>
      <c r="I124" s="289" t="str">
        <f t="shared" si="34"/>
        <v>#REF!</v>
      </c>
      <c r="J124" s="400" t="s">
        <v>99</v>
      </c>
      <c r="K124" s="328" t="s">
        <v>20</v>
      </c>
      <c r="L124" s="329" t="s">
        <v>23</v>
      </c>
      <c r="M124" s="291" t="s">
        <v>308</v>
      </c>
      <c r="N124" s="401">
        <v>80.0</v>
      </c>
      <c r="O124" s="439" t="s">
        <v>25</v>
      </c>
      <c r="P124" s="439" t="s">
        <v>309</v>
      </c>
      <c r="Q124" s="402" t="s">
        <v>1330</v>
      </c>
    </row>
    <row r="125" hidden="1">
      <c r="A125" s="51">
        <v>1405.0</v>
      </c>
      <c r="B125" s="51">
        <v>1405.0</v>
      </c>
      <c r="C125" s="289">
        <v>61.0</v>
      </c>
      <c r="D125" s="403">
        <f>IFERROR(__xludf.DUMMYFUNCTION("if(B125&lt;=999,if(B125&lt;=99,IF(B125&lt;=9,join(,""000"",B125),join(,""00"",B125)),join(,""0"",B125)),B125)"),1405.0)</f>
        <v>1405</v>
      </c>
      <c r="E125" s="301" t="s">
        <v>310</v>
      </c>
      <c r="F125" s="325" t="s">
        <v>20</v>
      </c>
      <c r="G125" s="289" t="str">
        <f t="shared" si="32"/>
        <v>#REF!</v>
      </c>
      <c r="H125" s="408" t="s">
        <v>21</v>
      </c>
      <c r="I125" s="289" t="str">
        <f t="shared" si="34"/>
        <v>#REF!</v>
      </c>
      <c r="J125" s="400" t="s">
        <v>99</v>
      </c>
      <c r="K125" s="328" t="s">
        <v>20</v>
      </c>
      <c r="L125" s="438" t="s">
        <v>95</v>
      </c>
      <c r="M125" s="438" t="s">
        <v>311</v>
      </c>
      <c r="N125" s="401" t="e">
        <v>#N/A</v>
      </c>
      <c r="O125" s="438" t="s">
        <v>25</v>
      </c>
      <c r="P125" s="438" t="s">
        <v>86</v>
      </c>
      <c r="Q125" s="402" t="s">
        <v>1330</v>
      </c>
    </row>
    <row r="126" hidden="1">
      <c r="A126" s="51">
        <v>1049.0</v>
      </c>
      <c r="B126" s="51">
        <v>1049.0</v>
      </c>
      <c r="C126" s="289">
        <v>62.0</v>
      </c>
      <c r="D126" s="403">
        <f>IFERROR(__xludf.DUMMYFUNCTION("if(B126&lt;=999,if(B126&lt;=99,IF(B126&lt;=9,join(,""000"",B126),join(,""00"",B126)),join(,""0"",B126)),B126)"),1049.0)</f>
        <v>1049</v>
      </c>
      <c r="E126" s="301" t="s">
        <v>312</v>
      </c>
      <c r="F126" s="325" t="s">
        <v>20</v>
      </c>
      <c r="G126" s="289" t="str">
        <f t="shared" si="32"/>
        <v>#REF!</v>
      </c>
      <c r="H126" s="408" t="s">
        <v>21</v>
      </c>
      <c r="I126" s="289" t="str">
        <f t="shared" si="34"/>
        <v>#REF!</v>
      </c>
      <c r="J126" s="400" t="s">
        <v>99</v>
      </c>
      <c r="K126" s="328" t="s">
        <v>20</v>
      </c>
      <c r="L126" s="438" t="s">
        <v>95</v>
      </c>
      <c r="M126" s="438" t="s">
        <v>313</v>
      </c>
      <c r="N126" s="401">
        <v>25001.0</v>
      </c>
      <c r="O126" s="438" t="s">
        <v>25</v>
      </c>
      <c r="P126" s="438" t="s">
        <v>86</v>
      </c>
      <c r="Q126" s="402" t="s">
        <v>1330</v>
      </c>
    </row>
    <row r="127" hidden="1">
      <c r="A127" s="51">
        <v>1142.0</v>
      </c>
      <c r="B127" s="51">
        <v>1142.0</v>
      </c>
      <c r="C127" s="289"/>
      <c r="D127" s="403">
        <f>IFERROR(__xludf.DUMMYFUNCTION("if(B127&lt;=999,if(B127&lt;=99,IF(B127&lt;=9,join(,""000"",B127),join(,""00"",B127)),join(,""0"",B127)),B127)"),1142.0)</f>
        <v>1142</v>
      </c>
      <c r="E127" s="326" t="s">
        <v>315</v>
      </c>
      <c r="F127" s="325" t="s">
        <v>20</v>
      </c>
      <c r="G127" s="289" t="str">
        <f t="shared" si="32"/>
        <v>#REF!</v>
      </c>
      <c r="H127" s="408" t="s">
        <v>21</v>
      </c>
      <c r="I127" s="289" t="str">
        <f t="shared" si="34"/>
        <v>#REF!</v>
      </c>
      <c r="J127" s="400" t="s">
        <v>99</v>
      </c>
      <c r="K127" s="328" t="s">
        <v>20</v>
      </c>
      <c r="L127" s="329" t="s">
        <v>95</v>
      </c>
      <c r="M127" s="329" t="s">
        <v>1562</v>
      </c>
      <c r="N127" s="401">
        <v>25001.0</v>
      </c>
      <c r="O127" s="329" t="s">
        <v>25</v>
      </c>
      <c r="P127" s="329" t="s">
        <v>55</v>
      </c>
      <c r="Q127" s="414" t="s">
        <v>1330</v>
      </c>
    </row>
    <row r="128" hidden="1">
      <c r="A128" s="33">
        <v>1416.0</v>
      </c>
      <c r="B128" s="34">
        <v>1416.0</v>
      </c>
      <c r="C128" s="289"/>
      <c r="D128" s="403">
        <f>IFERROR(__xludf.DUMMYFUNCTION("if(B128&lt;=999,if(B128&lt;=99,IF(B128&lt;=9,join(,""000"",B128),join(,""00"",B128)),join(,""0"",B128)),B128)"),1416.0)</f>
        <v>1416</v>
      </c>
      <c r="E128" s="297" t="s">
        <v>318</v>
      </c>
      <c r="F128" s="289" t="s">
        <v>20</v>
      </c>
      <c r="G128" s="289" t="s">
        <v>1563</v>
      </c>
      <c r="H128" s="399" t="s">
        <v>21</v>
      </c>
      <c r="I128" s="289">
        <v>9.305831808E9</v>
      </c>
      <c r="J128" s="400" t="s">
        <v>99</v>
      </c>
      <c r="K128" s="290" t="s">
        <v>20</v>
      </c>
      <c r="L128" s="401" t="s">
        <v>95</v>
      </c>
      <c r="M128" s="467" t="s">
        <v>1564</v>
      </c>
      <c r="N128" s="401" t="e">
        <v>#N/A</v>
      </c>
      <c r="O128" s="401" t="s">
        <v>25</v>
      </c>
      <c r="P128" s="401" t="s">
        <v>1565</v>
      </c>
      <c r="Q128" s="414" t="s">
        <v>1330</v>
      </c>
    </row>
    <row r="129" hidden="1">
      <c r="A129" s="51">
        <v>1345.0</v>
      </c>
      <c r="B129" s="51">
        <v>1345.0</v>
      </c>
      <c r="C129" s="298">
        <v>63.0</v>
      </c>
      <c r="D129" s="403">
        <f>IFERROR(__xludf.DUMMYFUNCTION("if(B129&lt;=999,if(B129&lt;=99,IF(B129&lt;=9,join(,""000"",B129),join(,""00"",B129)),join(,""0"",B129)),B129)"),1345.0)</f>
        <v>1345</v>
      </c>
      <c r="E129" s="301" t="s">
        <v>319</v>
      </c>
      <c r="F129" s="325" t="s">
        <v>20</v>
      </c>
      <c r="G129" s="289" t="str">
        <f>VLOOKUP(D129,'Copy of Form Responses; CCTV Infra 1'!$G$2:$I$675,2,false)</f>
        <v>#REF!</v>
      </c>
      <c r="H129" s="408" t="s">
        <v>21</v>
      </c>
      <c r="I129" s="289" t="str">
        <f t="shared" ref="I129:I130" si="35">VLOOKUP(D129,'Copy of Form Responses; CCTV Infra 1'!$G$2:$I$675,3,false)</f>
        <v>#REF!</v>
      </c>
      <c r="J129" s="400" t="s">
        <v>101</v>
      </c>
      <c r="K129" s="328" t="s">
        <v>20</v>
      </c>
      <c r="L129" s="329" t="s">
        <v>95</v>
      </c>
      <c r="M129" s="291" t="s">
        <v>320</v>
      </c>
      <c r="N129" s="401">
        <v>32.0</v>
      </c>
      <c r="O129" s="439" t="s">
        <v>25</v>
      </c>
      <c r="P129" s="439" t="s">
        <v>321</v>
      </c>
      <c r="Q129" s="414" t="s">
        <v>1330</v>
      </c>
    </row>
    <row r="130">
      <c r="A130" s="51">
        <v>1369.0</v>
      </c>
      <c r="B130" s="51">
        <v>1369.0</v>
      </c>
      <c r="C130" s="260">
        <v>14.0</v>
      </c>
      <c r="D130" s="260">
        <f>IFERROR(__xludf.DUMMYFUNCTION("if(B130&lt;=999,if(B130&lt;=99,IF(B130&lt;=9,join(,""000"",B130),join(,""00"",B130)),join(,""0"",B130)),B130)"),1369.0)</f>
        <v>1369</v>
      </c>
      <c r="E130" s="270" t="s">
        <v>305</v>
      </c>
      <c r="F130" s="260" t="s">
        <v>20</v>
      </c>
      <c r="G130" s="260" t="s">
        <v>1428</v>
      </c>
      <c r="H130" s="410" t="s">
        <v>21</v>
      </c>
      <c r="I130" s="260" t="str">
        <f t="shared" si="35"/>
        <v>#REF!</v>
      </c>
      <c r="J130" s="264" t="s">
        <v>77</v>
      </c>
      <c r="K130" s="411" t="str">
        <f>vlookup(D130,'Elligible Training Institutes R'!$D$9:$L$19,9,false)</f>
        <v>#N/A</v>
      </c>
      <c r="L130" s="329"/>
      <c r="M130" s="329"/>
      <c r="N130" s="401">
        <v>4.250593433136E12</v>
      </c>
      <c r="O130" s="329"/>
      <c r="P130" s="329"/>
      <c r="Q130" s="412" t="s">
        <v>1429</v>
      </c>
    </row>
    <row r="131">
      <c r="A131" s="51">
        <v>1204.0</v>
      </c>
      <c r="B131" s="51">
        <v>1204.0</v>
      </c>
      <c r="C131" s="260">
        <v>15.0</v>
      </c>
      <c r="D131" s="260">
        <f>IFERROR(__xludf.DUMMYFUNCTION("if(B131&lt;=999,if(B131&lt;=99,IF(B131&lt;=9,join(,""000"",B131),join(,""00"",B131)),join(,""0"",B131)),B131)"),1204.0)</f>
        <v>1204</v>
      </c>
      <c r="E131" s="384" t="s">
        <v>304</v>
      </c>
      <c r="F131" s="260" t="s">
        <v>35</v>
      </c>
      <c r="G131" s="260" t="s">
        <v>1430</v>
      </c>
      <c r="H131" s="410" t="s">
        <v>21</v>
      </c>
      <c r="I131" s="260">
        <v>9.012102362E9</v>
      </c>
      <c r="J131" s="271"/>
      <c r="K131" s="411" t="str">
        <f>vlookup(D131,'Elligible Training Institutes R'!$D$9:$L$19,9,false)</f>
        <v>#N/A</v>
      </c>
      <c r="L131" s="329"/>
      <c r="M131" s="329" t="s">
        <v>1431</v>
      </c>
      <c r="N131" s="401" t="e">
        <v>#N/A</v>
      </c>
      <c r="O131" s="329"/>
      <c r="P131" s="329"/>
      <c r="Q131" s="412" t="s">
        <v>50</v>
      </c>
    </row>
    <row r="132" hidden="1">
      <c r="A132" s="33">
        <v>51.0</v>
      </c>
      <c r="B132" s="34">
        <v>51.0</v>
      </c>
      <c r="C132" s="289"/>
      <c r="D132" s="403" t="str">
        <f>IFERROR(__xludf.DUMMYFUNCTION("if(B132&lt;=999,if(B132&lt;=99,IF(B132&lt;=9,join(,""000"",B132),join(,""00"",B132)),join(,""0"",B132)),B132)"),"0051")</f>
        <v>0051</v>
      </c>
      <c r="E132" s="297" t="s">
        <v>67</v>
      </c>
      <c r="F132" s="289" t="s">
        <v>20</v>
      </c>
      <c r="G132" s="289" t="s">
        <v>1566</v>
      </c>
      <c r="H132" s="399" t="s">
        <v>21</v>
      </c>
      <c r="I132" s="289" t="s">
        <v>1567</v>
      </c>
      <c r="J132" s="400" t="s">
        <v>1568</v>
      </c>
      <c r="K132" s="290" t="s">
        <v>20</v>
      </c>
      <c r="L132" s="401" t="s">
        <v>95</v>
      </c>
      <c r="M132" s="401" t="s">
        <v>1569</v>
      </c>
      <c r="N132" s="401" t="e">
        <v>#N/A</v>
      </c>
      <c r="O132" s="401" t="s">
        <v>104</v>
      </c>
      <c r="P132" s="401" t="s">
        <v>893</v>
      </c>
      <c r="Q132" s="441" t="s">
        <v>1570</v>
      </c>
    </row>
    <row r="133" hidden="1">
      <c r="A133" s="51">
        <v>367.0</v>
      </c>
      <c r="B133" s="51">
        <v>367.0</v>
      </c>
      <c r="C133" s="289">
        <v>64.0</v>
      </c>
      <c r="D133" s="289" t="str">
        <f>IFERROR(__xludf.DUMMYFUNCTION("if(B133&lt;=999,if(B133&lt;=99,IF(B133&lt;=9,join(,""000"",B133),join(,""00"",B133)),join(,""0"",B133)),B133)"),"0367")</f>
        <v>0367</v>
      </c>
      <c r="E133" s="301" t="s">
        <v>324</v>
      </c>
      <c r="F133" s="325" t="s">
        <v>20</v>
      </c>
      <c r="G133" s="289" t="str">
        <f t="shared" ref="G133:G137" si="36">VLOOKUP(D133,'Copy of Form Responses; CCTV Infra 1'!$G$2:$I$675,2,false)</f>
        <v>#REF!</v>
      </c>
      <c r="H133" s="408" t="s">
        <v>21</v>
      </c>
      <c r="I133" s="289" t="str">
        <f t="shared" ref="I133:I137" si="37">VLOOKUP(D133,'Copy of Form Responses; CCTV Infra 1'!$G$2:$I$675,3,false)</f>
        <v>#REF!</v>
      </c>
      <c r="J133" s="400" t="s">
        <v>63</v>
      </c>
      <c r="K133" s="328" t="s">
        <v>20</v>
      </c>
      <c r="L133" s="329" t="s">
        <v>23</v>
      </c>
      <c r="M133" s="329" t="s">
        <v>325</v>
      </c>
      <c r="N133" s="401" t="s">
        <v>326</v>
      </c>
      <c r="O133" s="329" t="s">
        <v>25</v>
      </c>
      <c r="P133" s="329" t="s">
        <v>256</v>
      </c>
      <c r="Q133" s="402" t="s">
        <v>1330</v>
      </c>
    </row>
    <row r="134" hidden="1">
      <c r="A134" s="51">
        <v>1032.0</v>
      </c>
      <c r="B134" s="51">
        <v>1032.0</v>
      </c>
      <c r="C134" s="289"/>
      <c r="D134" s="289">
        <f>IFERROR(__xludf.DUMMYFUNCTION("if(B134&lt;=999,if(B134&lt;=99,IF(B134&lt;=9,join(,""000"",B134),join(,""00"",B134)),join(,""0"",B134)),B134)"),1032.0)</f>
        <v>1032</v>
      </c>
      <c r="E134" s="326" t="s">
        <v>328</v>
      </c>
      <c r="F134" s="325" t="s">
        <v>20</v>
      </c>
      <c r="G134" s="289" t="str">
        <f t="shared" si="36"/>
        <v>#REF!</v>
      </c>
      <c r="H134" s="408" t="s">
        <v>21</v>
      </c>
      <c r="I134" s="289" t="str">
        <f t="shared" si="37"/>
        <v>#REF!</v>
      </c>
      <c r="J134" s="400" t="s">
        <v>77</v>
      </c>
      <c r="K134" s="328" t="s">
        <v>20</v>
      </c>
      <c r="L134" s="329" t="s">
        <v>23</v>
      </c>
      <c r="M134" s="329" t="s">
        <v>1571</v>
      </c>
      <c r="N134" s="401">
        <v>16.0</v>
      </c>
      <c r="O134" s="329" t="s">
        <v>25</v>
      </c>
      <c r="P134" s="329" t="s">
        <v>86</v>
      </c>
      <c r="Q134" s="402" t="s">
        <v>1330</v>
      </c>
    </row>
    <row r="135" hidden="1">
      <c r="A135" s="55">
        <v>1094.0</v>
      </c>
      <c r="B135" s="55">
        <v>1094.0</v>
      </c>
      <c r="C135" s="289">
        <v>65.0</v>
      </c>
      <c r="D135" s="424">
        <f>IFERROR(__xludf.DUMMYFUNCTION("if(B135&lt;=999,if(B135&lt;=99,IF(B135&lt;=9,join(,""000"",B135),join(,""00"",B135)),join(,""0"",B135)),B135)"),1094.0)</f>
        <v>1094</v>
      </c>
      <c r="E135" s="425" t="s">
        <v>329</v>
      </c>
      <c r="F135" s="426" t="s">
        <v>20</v>
      </c>
      <c r="G135" s="298" t="str">
        <f t="shared" si="36"/>
        <v>#REF!</v>
      </c>
      <c r="H135" s="426" t="s">
        <v>21</v>
      </c>
      <c r="I135" s="298" t="str">
        <f t="shared" si="37"/>
        <v>#REF!</v>
      </c>
      <c r="J135" s="405" t="s">
        <v>101</v>
      </c>
      <c r="K135" s="427" t="s">
        <v>20</v>
      </c>
      <c r="L135" s="414" t="s">
        <v>330</v>
      </c>
      <c r="M135" s="468" t="s">
        <v>1572</v>
      </c>
      <c r="N135" s="407">
        <v>16.0</v>
      </c>
      <c r="O135" s="414" t="s">
        <v>25</v>
      </c>
      <c r="P135" s="414" t="s">
        <v>55</v>
      </c>
      <c r="Q135" s="414" t="s">
        <v>1330</v>
      </c>
    </row>
    <row r="136" hidden="1">
      <c r="A136" s="51">
        <v>1340.0</v>
      </c>
      <c r="B136" s="51">
        <v>1340.0</v>
      </c>
      <c r="C136" s="289"/>
      <c r="D136" s="289">
        <f>IFERROR(__xludf.DUMMYFUNCTION("if(B136&lt;=999,if(B136&lt;=99,IF(B136&lt;=9,join(,""000"",B136),join(,""00"",B136)),join(,""0"",B136)),B136)"),1340.0)</f>
        <v>1340</v>
      </c>
      <c r="E136" s="326" t="s">
        <v>333</v>
      </c>
      <c r="F136" s="325" t="s">
        <v>20</v>
      </c>
      <c r="G136" s="289" t="str">
        <f t="shared" si="36"/>
        <v>#REF!</v>
      </c>
      <c r="H136" s="408" t="s">
        <v>21</v>
      </c>
      <c r="I136" s="289" t="str">
        <f t="shared" si="37"/>
        <v>#REF!</v>
      </c>
      <c r="J136" s="400" t="s">
        <v>77</v>
      </c>
      <c r="K136" s="328" t="s">
        <v>20</v>
      </c>
      <c r="L136" s="329" t="s">
        <v>48</v>
      </c>
      <c r="M136" s="329" t="s">
        <v>1573</v>
      </c>
      <c r="N136" s="401" t="s">
        <v>334</v>
      </c>
      <c r="O136" s="329" t="s">
        <v>1574</v>
      </c>
      <c r="P136" s="329" t="s">
        <v>1575</v>
      </c>
      <c r="Q136" s="414" t="s">
        <v>1330</v>
      </c>
    </row>
    <row r="137" hidden="1">
      <c r="A137" s="33">
        <v>1122.0</v>
      </c>
      <c r="B137" s="34">
        <v>1122.0</v>
      </c>
      <c r="C137" s="289"/>
      <c r="D137" s="289">
        <f>IFERROR(__xludf.DUMMYFUNCTION("if(B137&lt;=999,if(B137&lt;=99,IF(B137&lt;=9,join(,""000"",B137),join(,""00"",B137)),join(,""0"",B137)),B137)"),1122.0)</f>
        <v>1122</v>
      </c>
      <c r="E137" s="297" t="s">
        <v>335</v>
      </c>
      <c r="F137" s="325" t="s">
        <v>20</v>
      </c>
      <c r="G137" s="289" t="str">
        <f t="shared" si="36"/>
        <v>#REF!</v>
      </c>
      <c r="H137" s="399" t="s">
        <v>21</v>
      </c>
      <c r="I137" s="289" t="str">
        <f t="shared" si="37"/>
        <v>#REF!</v>
      </c>
      <c r="J137" s="400" t="s">
        <v>101</v>
      </c>
      <c r="K137" s="290" t="s">
        <v>20</v>
      </c>
      <c r="L137" s="401" t="s">
        <v>23</v>
      </c>
      <c r="M137" s="401" t="s">
        <v>1576</v>
      </c>
      <c r="N137" s="401" t="s">
        <v>336</v>
      </c>
      <c r="O137" s="401" t="s">
        <v>389</v>
      </c>
      <c r="P137" s="401" t="s">
        <v>55</v>
      </c>
      <c r="Q137" s="414" t="s">
        <v>1330</v>
      </c>
    </row>
    <row r="138" hidden="1">
      <c r="A138" s="55">
        <v>1279.0</v>
      </c>
      <c r="B138" s="55">
        <v>1279.0</v>
      </c>
      <c r="C138" s="298" t="s">
        <v>1577</v>
      </c>
      <c r="D138" s="298">
        <f>IFERROR(__xludf.DUMMYFUNCTION("if(B138&lt;=999,if(B138&lt;=99,IF(B138&lt;=9,join(,""000"",B138),join(,""00"",B138)),join(,""0"",B138)),B138)"),1279.0)</f>
        <v>1279</v>
      </c>
      <c r="E138" s="457" t="s">
        <v>337</v>
      </c>
      <c r="F138" s="426" t="s">
        <v>20</v>
      </c>
      <c r="G138" s="298" t="s">
        <v>1578</v>
      </c>
      <c r="H138" s="426" t="s">
        <v>21</v>
      </c>
      <c r="I138" s="298">
        <v>9.807868501E9</v>
      </c>
      <c r="J138" s="405" t="s">
        <v>99</v>
      </c>
      <c r="K138" s="427" t="s">
        <v>20</v>
      </c>
      <c r="L138" s="414" t="s">
        <v>23</v>
      </c>
      <c r="M138" s="414" t="s">
        <v>1579</v>
      </c>
      <c r="N138" s="407" t="e">
        <v>#N/A</v>
      </c>
      <c r="O138" s="414" t="s">
        <v>25</v>
      </c>
      <c r="P138" s="414" t="s">
        <v>55</v>
      </c>
      <c r="Q138" s="414" t="s">
        <v>1330</v>
      </c>
    </row>
    <row r="139" hidden="1">
      <c r="A139" s="33">
        <v>1105.0</v>
      </c>
      <c r="B139" s="34">
        <v>1105.0</v>
      </c>
      <c r="C139" s="289"/>
      <c r="D139" s="289">
        <f>IFERROR(__xludf.DUMMYFUNCTION("if(B139&lt;=999,if(B139&lt;=99,IF(B139&lt;=9,join(,""000"",B139),join(,""00"",B139)),join(,""0"",B139)),B139)"),1105.0)</f>
        <v>1105</v>
      </c>
      <c r="E139" s="297" t="s">
        <v>339</v>
      </c>
      <c r="F139" s="289" t="s">
        <v>20</v>
      </c>
      <c r="G139" s="289" t="str">
        <f t="shared" ref="G139:G142" si="38">VLOOKUP(D139,'Copy of Form Responses; CCTV Infra 1'!$G$2:$I$675,2,false)</f>
        <v>#REF!</v>
      </c>
      <c r="H139" s="399" t="s">
        <v>21</v>
      </c>
      <c r="I139" s="289" t="str">
        <f t="shared" ref="I139:I142" si="39">VLOOKUP(D139,'Copy of Form Responses; CCTV Infra 1'!$G$2:$I$675,3,false)</f>
        <v>#REF!</v>
      </c>
      <c r="J139" s="400" t="s">
        <v>99</v>
      </c>
      <c r="K139" s="290" t="s">
        <v>20</v>
      </c>
      <c r="L139" s="401"/>
      <c r="M139" s="401" t="s">
        <v>1580</v>
      </c>
      <c r="N139" s="401"/>
      <c r="O139" s="439" t="s">
        <v>25</v>
      </c>
      <c r="P139" s="447" t="s">
        <v>86</v>
      </c>
      <c r="Q139" s="414" t="s">
        <v>1330</v>
      </c>
    </row>
    <row r="140" hidden="1">
      <c r="A140" s="33">
        <v>1454.0</v>
      </c>
      <c r="B140" s="34">
        <v>1454.0</v>
      </c>
      <c r="C140" s="289"/>
      <c r="D140" s="289">
        <f>IFERROR(__xludf.DUMMYFUNCTION("if(B140&lt;=999,if(B140&lt;=99,IF(B140&lt;=9,join(,""000"",B140),join(,""00"",B140)),join(,""0"",B140)),B140)"),1454.0)</f>
        <v>1454</v>
      </c>
      <c r="E140" s="297" t="s">
        <v>340</v>
      </c>
      <c r="F140" s="289" t="s">
        <v>20</v>
      </c>
      <c r="G140" s="289" t="str">
        <f t="shared" si="38"/>
        <v>#REF!</v>
      </c>
      <c r="H140" s="399" t="s">
        <v>21</v>
      </c>
      <c r="I140" s="289" t="str">
        <f t="shared" si="39"/>
        <v>#REF!</v>
      </c>
      <c r="J140" s="400" t="s">
        <v>101</v>
      </c>
      <c r="K140" s="290" t="s">
        <v>20</v>
      </c>
      <c r="L140" s="401" t="s">
        <v>28</v>
      </c>
      <c r="M140" s="291" t="s">
        <v>341</v>
      </c>
      <c r="N140" s="401">
        <v>16.0</v>
      </c>
      <c r="O140" s="439" t="s">
        <v>25</v>
      </c>
      <c r="P140" s="439" t="s">
        <v>342</v>
      </c>
      <c r="Q140" s="414" t="s">
        <v>1330</v>
      </c>
    </row>
    <row r="141" hidden="1">
      <c r="A141" s="51">
        <v>1411.0</v>
      </c>
      <c r="B141" s="51">
        <v>1411.0</v>
      </c>
      <c r="C141" s="289"/>
      <c r="D141" s="289">
        <f>IFERROR(__xludf.DUMMYFUNCTION("if(B141&lt;=999,if(B141&lt;=99,IF(B141&lt;=9,join(,""000"",B141),join(,""00"",B141)),join(,""0"",B141)),B141)"),1411.0)</f>
        <v>1411</v>
      </c>
      <c r="E141" s="326" t="s">
        <v>343</v>
      </c>
      <c r="F141" s="325" t="s">
        <v>20</v>
      </c>
      <c r="G141" s="289" t="str">
        <f t="shared" si="38"/>
        <v>#REF!</v>
      </c>
      <c r="H141" s="408" t="s">
        <v>21</v>
      </c>
      <c r="I141" s="289" t="str">
        <f t="shared" si="39"/>
        <v>#REF!</v>
      </c>
      <c r="J141" s="400" t="s">
        <v>77</v>
      </c>
      <c r="K141" s="328" t="s">
        <v>20</v>
      </c>
      <c r="L141" s="329" t="s">
        <v>1581</v>
      </c>
      <c r="M141" s="329" t="s">
        <v>1582</v>
      </c>
      <c r="N141" s="401">
        <v>32.0</v>
      </c>
      <c r="O141" s="329" t="s">
        <v>513</v>
      </c>
      <c r="P141" s="329" t="s">
        <v>1583</v>
      </c>
      <c r="Q141" s="414" t="s">
        <v>1330</v>
      </c>
    </row>
    <row r="142" hidden="1">
      <c r="A142" s="51">
        <v>1116.0</v>
      </c>
      <c r="B142" s="51">
        <v>1116.0</v>
      </c>
      <c r="C142" s="298">
        <v>66.0</v>
      </c>
      <c r="D142" s="289">
        <f>IFERROR(__xludf.DUMMYFUNCTION("if(B142&lt;=999,if(B142&lt;=99,IF(B142&lt;=9,join(,""000"",B142),join(,""00"",B142)),join(,""0"",B142)),B142)"),1116.0)</f>
        <v>1116</v>
      </c>
      <c r="E142" s="301" t="s">
        <v>344</v>
      </c>
      <c r="F142" s="325" t="s">
        <v>20</v>
      </c>
      <c r="G142" s="289" t="str">
        <f t="shared" si="38"/>
        <v>#REF!</v>
      </c>
      <c r="H142" s="408" t="s">
        <v>21</v>
      </c>
      <c r="I142" s="289" t="str">
        <f t="shared" si="39"/>
        <v>#REF!</v>
      </c>
      <c r="J142" s="400" t="s">
        <v>101</v>
      </c>
      <c r="K142" s="328" t="s">
        <v>20</v>
      </c>
      <c r="L142" s="329"/>
      <c r="M142" s="329" t="s">
        <v>345</v>
      </c>
      <c r="N142" s="401" t="s">
        <v>346</v>
      </c>
      <c r="O142" s="329" t="s">
        <v>347</v>
      </c>
      <c r="P142" s="329" t="s">
        <v>348</v>
      </c>
      <c r="Q142" s="414" t="s">
        <v>1330</v>
      </c>
    </row>
    <row r="143" hidden="1">
      <c r="A143" s="51">
        <v>2.0</v>
      </c>
      <c r="B143" s="51">
        <v>2.0</v>
      </c>
      <c r="C143" s="289"/>
      <c r="D143" s="289" t="str">
        <f>IFERROR(__xludf.DUMMYFUNCTION("if(B143&lt;=999,if(B143&lt;=99,IF(B143&lt;=9,join(,""000"",B143),join(,""00"",B143)),join(,""0"",B143)),B143)"),"0002")</f>
        <v>0002</v>
      </c>
      <c r="E143" s="326" t="s">
        <v>68</v>
      </c>
      <c r="F143" s="325" t="s">
        <v>20</v>
      </c>
      <c r="G143" s="289" t="s">
        <v>1584</v>
      </c>
      <c r="H143" s="408" t="s">
        <v>21</v>
      </c>
      <c r="I143" s="289">
        <v>8.923937475E9</v>
      </c>
      <c r="J143" s="404"/>
      <c r="K143" s="328" t="s">
        <v>20</v>
      </c>
      <c r="L143" s="329"/>
      <c r="M143" s="329" t="s">
        <v>1569</v>
      </c>
      <c r="N143" s="401" t="e">
        <v>#N/A</v>
      </c>
      <c r="O143" s="329" t="s">
        <v>104</v>
      </c>
      <c r="P143" s="329" t="s">
        <v>893</v>
      </c>
      <c r="Q143" s="441" t="s">
        <v>1570</v>
      </c>
    </row>
    <row r="144" hidden="1">
      <c r="A144" s="51">
        <v>820.0</v>
      </c>
      <c r="B144" s="51">
        <v>820.0</v>
      </c>
      <c r="C144" s="289"/>
      <c r="D144" s="403" t="str">
        <f>IFERROR(__xludf.DUMMYFUNCTION("if(B144&lt;=999,if(B144&lt;=99,IF(B144&lt;=9,join(,""000"",B144),join(,""00"",B144)),join(,""0"",B144)),B144)"),"0820")</f>
        <v>0820</v>
      </c>
      <c r="E144" s="326" t="s">
        <v>350</v>
      </c>
      <c r="F144" s="325" t="s">
        <v>20</v>
      </c>
      <c r="G144" s="289" t="str">
        <f t="shared" ref="G144:G145" si="40">VLOOKUP(D144,'Copy of Form Responses; CCTV Infra 1'!$G$2:$I$675,2,false)</f>
        <v>#REF!</v>
      </c>
      <c r="H144" s="408" t="s">
        <v>21</v>
      </c>
      <c r="I144" s="289" t="str">
        <f t="shared" ref="I144:I145" si="41">VLOOKUP(D144,'Copy of Form Responses; CCTV Infra 1'!$G$2:$I$675,3,false)</f>
        <v>#REF!</v>
      </c>
      <c r="J144" s="400" t="s">
        <v>22</v>
      </c>
      <c r="K144" s="328" t="s">
        <v>20</v>
      </c>
      <c r="L144" s="329" t="s">
        <v>95</v>
      </c>
      <c r="M144" s="461" t="s">
        <v>1585</v>
      </c>
      <c r="N144" s="401">
        <v>25001.0</v>
      </c>
      <c r="O144" s="329" t="s">
        <v>25</v>
      </c>
      <c r="P144" s="329" t="s">
        <v>55</v>
      </c>
      <c r="Q144" s="430" t="s">
        <v>1330</v>
      </c>
    </row>
    <row r="145">
      <c r="A145" s="51">
        <v>461.0</v>
      </c>
      <c r="B145" s="51">
        <v>461.0</v>
      </c>
      <c r="C145" s="260">
        <v>16.0</v>
      </c>
      <c r="D145" s="260" t="str">
        <f>IFERROR(__xludf.DUMMYFUNCTION("if(B145&lt;=999,if(B145&lt;=99,IF(B145&lt;=9,join(,""000"",B145),join(,""00"",B145)),join(,""0"",B145)),B145)"),"0461")</f>
        <v>0461</v>
      </c>
      <c r="E145" s="270" t="s">
        <v>351</v>
      </c>
      <c r="F145" s="260" t="s">
        <v>35</v>
      </c>
      <c r="G145" s="260" t="str">
        <f t="shared" si="40"/>
        <v>#REF!</v>
      </c>
      <c r="H145" s="410" t="s">
        <v>21</v>
      </c>
      <c r="I145" s="260" t="str">
        <f t="shared" si="41"/>
        <v>#REF!</v>
      </c>
      <c r="J145" s="271"/>
      <c r="K145" s="411" t="str">
        <f>vlookup(D145,'Elligible Training Institutes R'!$D$9:$L$19,9,false)</f>
        <v>#N/A</v>
      </c>
      <c r="L145" s="329"/>
      <c r="M145" s="329"/>
      <c r="N145" s="401" t="e">
        <v>#N/A</v>
      </c>
      <c r="O145" s="329"/>
      <c r="P145" s="329"/>
      <c r="Q145" s="412" t="s">
        <v>1423</v>
      </c>
    </row>
    <row r="146" hidden="1">
      <c r="A146" s="324">
        <v>240.0</v>
      </c>
      <c r="B146" s="415">
        <v>240.0</v>
      </c>
      <c r="C146" s="418"/>
      <c r="D146" s="418" t="str">
        <f>IFERROR(__xludf.DUMMYFUNCTION("if(B146&lt;=999,if(B146&lt;=99,IF(B146&lt;=9,join(,""000"",B146),join(,""00"",B146)),join(,""0"",B146)),B146)"),"0240")</f>
        <v>0240</v>
      </c>
      <c r="E146" s="442" t="s">
        <v>352</v>
      </c>
      <c r="F146" s="418" t="s">
        <v>20</v>
      </c>
      <c r="G146" s="418" t="s">
        <v>1586</v>
      </c>
      <c r="H146" s="419" t="s">
        <v>21</v>
      </c>
      <c r="I146" s="418">
        <v>6.392232139E9</v>
      </c>
      <c r="J146" s="420" t="s">
        <v>22</v>
      </c>
      <c r="K146" s="421" t="s">
        <v>20</v>
      </c>
      <c r="L146" s="422" t="s">
        <v>95</v>
      </c>
      <c r="M146" s="422" t="s">
        <v>1587</v>
      </c>
      <c r="N146" s="422" t="e">
        <v>#N/A</v>
      </c>
      <c r="O146" s="422" t="s">
        <v>25</v>
      </c>
      <c r="P146" s="422" t="s">
        <v>55</v>
      </c>
      <c r="Q146" s="466" t="s">
        <v>1330</v>
      </c>
    </row>
    <row r="147" hidden="1">
      <c r="A147" s="33">
        <v>1343.0</v>
      </c>
      <c r="B147" s="34">
        <v>1343.0</v>
      </c>
      <c r="C147" s="289"/>
      <c r="D147" s="403">
        <f>IFERROR(__xludf.DUMMYFUNCTION("if(B147&lt;=999,if(B147&lt;=99,IF(B147&lt;=9,join(,""000"",B147),join(,""00"",B147)),join(,""0"",B147)),B147)"),1343.0)</f>
        <v>1343</v>
      </c>
      <c r="E147" s="297" t="s">
        <v>353</v>
      </c>
      <c r="F147" s="289" t="s">
        <v>20</v>
      </c>
      <c r="G147" s="289" t="s">
        <v>1588</v>
      </c>
      <c r="H147" s="399" t="s">
        <v>21</v>
      </c>
      <c r="I147" s="289">
        <v>9.675252777E9</v>
      </c>
      <c r="J147" s="400" t="s">
        <v>354</v>
      </c>
      <c r="K147" s="290" t="s">
        <v>20</v>
      </c>
      <c r="L147" s="401" t="s">
        <v>355</v>
      </c>
      <c r="M147" s="401" t="s">
        <v>356</v>
      </c>
      <c r="N147" s="401"/>
      <c r="O147" s="401" t="s">
        <v>25</v>
      </c>
      <c r="P147" s="401" t="s">
        <v>55</v>
      </c>
      <c r="Q147" s="402" t="s">
        <v>1330</v>
      </c>
    </row>
    <row r="148" hidden="1">
      <c r="A148" s="51">
        <v>799.0</v>
      </c>
      <c r="B148" s="51">
        <v>799.0</v>
      </c>
      <c r="C148" s="289"/>
      <c r="D148" s="403" t="str">
        <f>IFERROR(__xludf.DUMMYFUNCTION("if(B148&lt;=999,if(B148&lt;=99,IF(B148&lt;=9,join(,""000"",B148),join(,""00"",B148)),join(,""0"",B148)),B148)"),"0799")</f>
        <v>0799</v>
      </c>
      <c r="E148" s="326" t="s">
        <v>358</v>
      </c>
      <c r="F148" s="325" t="s">
        <v>20</v>
      </c>
      <c r="G148" s="289" t="str">
        <f t="shared" ref="G148:G164" si="42">VLOOKUP(D148,'Copy of Form Responses; CCTV Infra 1'!$G$2:$I$675,2,false)</f>
        <v>#REF!</v>
      </c>
      <c r="H148" s="408" t="s">
        <v>21</v>
      </c>
      <c r="I148" s="289" t="str">
        <f t="shared" ref="I148:I164" si="43">VLOOKUP(D148,'Copy of Form Responses; CCTV Infra 1'!$G$2:$I$675,3,false)</f>
        <v>#REF!</v>
      </c>
      <c r="J148" s="400" t="s">
        <v>22</v>
      </c>
      <c r="K148" s="328" t="s">
        <v>20</v>
      </c>
      <c r="L148" s="329" t="s">
        <v>95</v>
      </c>
      <c r="M148" s="329" t="s">
        <v>1589</v>
      </c>
      <c r="N148" s="401">
        <v>80.0</v>
      </c>
      <c r="O148" s="329" t="s">
        <v>25</v>
      </c>
      <c r="P148" s="329" t="s">
        <v>55</v>
      </c>
      <c r="Q148" s="407" t="s">
        <v>1330</v>
      </c>
    </row>
    <row r="149" hidden="1">
      <c r="A149" s="33">
        <v>1429.0</v>
      </c>
      <c r="B149" s="34">
        <v>1429.0</v>
      </c>
      <c r="C149" s="289">
        <v>67.0</v>
      </c>
      <c r="D149" s="403">
        <f>IFERROR(__xludf.DUMMYFUNCTION("if(B149&lt;=999,if(B149&lt;=99,IF(B149&lt;=9,join(,""000"",B149),join(,""00"",B149)),join(,""0"",B149)),B149)"),1429.0)</f>
        <v>1429</v>
      </c>
      <c r="E149" s="296" t="s">
        <v>359</v>
      </c>
      <c r="F149" s="289" t="s">
        <v>20</v>
      </c>
      <c r="G149" s="289" t="str">
        <f t="shared" si="42"/>
        <v>#REF!</v>
      </c>
      <c r="H149" s="399" t="s">
        <v>21</v>
      </c>
      <c r="I149" s="289" t="str">
        <f t="shared" si="43"/>
        <v>#REF!</v>
      </c>
      <c r="J149" s="400" t="s">
        <v>22</v>
      </c>
      <c r="K149" s="290" t="s">
        <v>20</v>
      </c>
      <c r="L149" s="291" t="s">
        <v>95</v>
      </c>
      <c r="M149" s="401" t="s">
        <v>361</v>
      </c>
      <c r="N149" s="401">
        <v>80.0</v>
      </c>
      <c r="O149" s="401" t="s">
        <v>25</v>
      </c>
      <c r="P149" s="401" t="s">
        <v>288</v>
      </c>
      <c r="Q149" s="407" t="s">
        <v>1330</v>
      </c>
    </row>
    <row r="150" hidden="1">
      <c r="A150" s="33">
        <v>1051.0</v>
      </c>
      <c r="B150" s="34">
        <v>1051.0</v>
      </c>
      <c r="C150" s="289">
        <v>68.0</v>
      </c>
      <c r="D150" s="403">
        <f>IFERROR(__xludf.DUMMYFUNCTION("if(B150&lt;=999,if(B150&lt;=99,IF(B150&lt;=9,join(,""000"",B150),join(,""00"",B150)),join(,""0"",B150)),B150)"),1051.0)</f>
        <v>1051</v>
      </c>
      <c r="E150" s="296" t="s">
        <v>363</v>
      </c>
      <c r="F150" s="289" t="s">
        <v>20</v>
      </c>
      <c r="G150" s="289" t="str">
        <f t="shared" si="42"/>
        <v>#REF!</v>
      </c>
      <c r="H150" s="399" t="s">
        <v>21</v>
      </c>
      <c r="I150" s="289" t="str">
        <f t="shared" si="43"/>
        <v>#REF!</v>
      </c>
      <c r="J150" s="400" t="s">
        <v>60</v>
      </c>
      <c r="K150" s="290" t="s">
        <v>20</v>
      </c>
      <c r="L150" s="401" t="s">
        <v>95</v>
      </c>
      <c r="M150" s="291" t="s">
        <v>364</v>
      </c>
      <c r="N150" s="401">
        <v>8.0</v>
      </c>
      <c r="O150" s="439" t="s">
        <v>25</v>
      </c>
      <c r="P150" s="439" t="s">
        <v>86</v>
      </c>
      <c r="Q150" s="407" t="s">
        <v>1330</v>
      </c>
    </row>
    <row r="151" hidden="1">
      <c r="A151" s="324">
        <v>976.0</v>
      </c>
      <c r="B151" s="324">
        <v>976.0</v>
      </c>
      <c r="C151" s="416">
        <v>69.0</v>
      </c>
      <c r="D151" s="418" t="str">
        <f>IFERROR(__xludf.DUMMYFUNCTION("if(B151&lt;=999,if(B151&lt;=99,IF(B151&lt;=9,join(,""000"",B151),join(,""00"",B151)),join(,""0"",B151)),B151)"),"0976")</f>
        <v>0976</v>
      </c>
      <c r="E151" s="417" t="s">
        <v>365</v>
      </c>
      <c r="F151" s="418" t="s">
        <v>20</v>
      </c>
      <c r="G151" s="418" t="str">
        <f t="shared" si="42"/>
        <v>#REF!</v>
      </c>
      <c r="H151" s="419" t="s">
        <v>21</v>
      </c>
      <c r="I151" s="418" t="str">
        <f t="shared" si="43"/>
        <v>#REF!</v>
      </c>
      <c r="J151" s="420" t="s">
        <v>60</v>
      </c>
      <c r="K151" s="421" t="s">
        <v>20</v>
      </c>
      <c r="L151" s="422" t="s">
        <v>95</v>
      </c>
      <c r="M151" s="443" t="s">
        <v>364</v>
      </c>
      <c r="N151" s="422">
        <v>8.0</v>
      </c>
      <c r="O151" s="444" t="s">
        <v>25</v>
      </c>
      <c r="P151" s="444" t="s">
        <v>86</v>
      </c>
      <c r="Q151" s="423" t="s">
        <v>1330</v>
      </c>
    </row>
    <row r="152">
      <c r="A152" s="51">
        <v>1324.0</v>
      </c>
      <c r="B152" s="51">
        <v>1324.0</v>
      </c>
      <c r="C152" s="260">
        <v>17.0</v>
      </c>
      <c r="D152" s="260">
        <f>IFERROR(__xludf.DUMMYFUNCTION("if(B152&lt;=999,if(B152&lt;=99,IF(B152&lt;=9,join(,""000"",B152),join(,""00"",B152)),join(,""0"",B152)),B152)"),1324.0)</f>
        <v>1324</v>
      </c>
      <c r="E152" s="270" t="s">
        <v>366</v>
      </c>
      <c r="F152" s="260" t="s">
        <v>35</v>
      </c>
      <c r="G152" s="260" t="str">
        <f t="shared" si="42"/>
        <v>#REF!</v>
      </c>
      <c r="H152" s="410" t="s">
        <v>21</v>
      </c>
      <c r="I152" s="260" t="str">
        <f t="shared" si="43"/>
        <v>#REF!</v>
      </c>
      <c r="J152" s="271"/>
      <c r="K152" s="411" t="str">
        <f>vlookup(D152,'Elligible Training Institutes R'!$D$9:$L$19,9,false)</f>
        <v>#N/A</v>
      </c>
      <c r="L152" s="329"/>
      <c r="M152" s="329"/>
      <c r="N152" s="401" t="e">
        <v>#N/A</v>
      </c>
      <c r="O152" s="329"/>
      <c r="P152" s="329"/>
      <c r="Q152" s="412" t="s">
        <v>1423</v>
      </c>
    </row>
    <row r="153" hidden="1">
      <c r="A153" s="33">
        <v>1250.0</v>
      </c>
      <c r="B153" s="34">
        <v>1250.0</v>
      </c>
      <c r="C153" s="289"/>
      <c r="D153" s="289">
        <f>IFERROR(__xludf.DUMMYFUNCTION("if(B153&lt;=999,if(B153&lt;=99,IF(B153&lt;=9,join(,""000"",B153),join(,""00"",B153)),join(,""0"",B153)),B153)"),1250.0)</f>
        <v>1250</v>
      </c>
      <c r="E153" s="297" t="s">
        <v>367</v>
      </c>
      <c r="F153" s="289" t="s">
        <v>20</v>
      </c>
      <c r="G153" s="289" t="str">
        <f t="shared" si="42"/>
        <v>#REF!</v>
      </c>
      <c r="H153" s="399" t="s">
        <v>21</v>
      </c>
      <c r="I153" s="289" t="str">
        <f t="shared" si="43"/>
        <v>#REF!</v>
      </c>
      <c r="J153" s="400" t="s">
        <v>73</v>
      </c>
      <c r="K153" s="290" t="s">
        <v>20</v>
      </c>
      <c r="L153" s="401" t="s">
        <v>23</v>
      </c>
      <c r="M153" s="291" t="s">
        <v>1590</v>
      </c>
      <c r="N153" s="401" t="s">
        <v>369</v>
      </c>
      <c r="O153" s="439" t="s">
        <v>25</v>
      </c>
      <c r="P153" s="447" t="s">
        <v>1591</v>
      </c>
      <c r="Q153" s="407" t="s">
        <v>1330</v>
      </c>
    </row>
    <row r="154" hidden="1">
      <c r="A154" s="33">
        <v>1424.0</v>
      </c>
      <c r="B154" s="34">
        <v>1424.0</v>
      </c>
      <c r="C154" s="289">
        <v>70.0</v>
      </c>
      <c r="D154" s="289">
        <f>IFERROR(__xludf.DUMMYFUNCTION("if(B154&lt;=999,if(B154&lt;=99,IF(B154&lt;=9,join(,""000"",B154),join(,""00"",B154)),join(,""0"",B154)),B154)"),1424.0)</f>
        <v>1424</v>
      </c>
      <c r="E154" s="296" t="s">
        <v>371</v>
      </c>
      <c r="F154" s="289" t="s">
        <v>20</v>
      </c>
      <c r="G154" s="289" t="str">
        <f t="shared" si="42"/>
        <v>#REF!</v>
      </c>
      <c r="H154" s="399" t="s">
        <v>21</v>
      </c>
      <c r="I154" s="289" t="str">
        <f t="shared" si="43"/>
        <v>#REF!</v>
      </c>
      <c r="J154" s="400" t="s">
        <v>372</v>
      </c>
      <c r="K154" s="290" t="s">
        <v>20</v>
      </c>
      <c r="L154" s="401"/>
      <c r="M154" s="401" t="s">
        <v>373</v>
      </c>
      <c r="N154" s="401">
        <v>16.0</v>
      </c>
      <c r="O154" s="401" t="s">
        <v>25</v>
      </c>
      <c r="P154" s="401" t="s">
        <v>374</v>
      </c>
      <c r="Q154" s="407" t="s">
        <v>1330</v>
      </c>
    </row>
    <row r="155" hidden="1">
      <c r="A155" s="51">
        <v>1356.0</v>
      </c>
      <c r="B155" s="51">
        <v>1356.0</v>
      </c>
      <c r="C155" s="289">
        <v>71.0</v>
      </c>
      <c r="D155" s="403">
        <f>IFERROR(__xludf.DUMMYFUNCTION("if(B155&lt;=999,if(B155&lt;=99,IF(B155&lt;=9,join(,""000"",B155),join(,""00"",B155)),join(,""0"",B155)),B155)"),1356.0)</f>
        <v>1356</v>
      </c>
      <c r="E155" s="301" t="s">
        <v>375</v>
      </c>
      <c r="F155" s="325" t="s">
        <v>20</v>
      </c>
      <c r="G155" s="289" t="str">
        <f t="shared" si="42"/>
        <v>#REF!</v>
      </c>
      <c r="H155" s="408" t="s">
        <v>21</v>
      </c>
      <c r="I155" s="289" t="str">
        <f t="shared" si="43"/>
        <v>#REF!</v>
      </c>
      <c r="J155" s="400" t="s">
        <v>99</v>
      </c>
      <c r="K155" s="328" t="s">
        <v>20</v>
      </c>
      <c r="L155" s="329" t="s">
        <v>95</v>
      </c>
      <c r="M155" s="329" t="s">
        <v>376</v>
      </c>
      <c r="N155" s="401" t="s">
        <v>377</v>
      </c>
      <c r="O155" s="329" t="s">
        <v>25</v>
      </c>
      <c r="P155" s="329" t="s">
        <v>55</v>
      </c>
      <c r="Q155" s="414" t="s">
        <v>1330</v>
      </c>
    </row>
    <row r="156" hidden="1">
      <c r="A156" s="258">
        <v>1019.0</v>
      </c>
      <c r="B156" s="258">
        <v>1019.0</v>
      </c>
      <c r="C156" s="260">
        <v>72.0</v>
      </c>
      <c r="D156" s="260">
        <f>IFERROR(__xludf.DUMMYFUNCTION("if(B156&lt;=999,if(B156&lt;=99,IF(B156&lt;=9,join(,""000"",B156),join(,""00"",B156)),join(,""0"",B156)),B156)"),1019.0)</f>
        <v>1019</v>
      </c>
      <c r="E156" s="262" t="s">
        <v>378</v>
      </c>
      <c r="F156" s="260" t="s">
        <v>20</v>
      </c>
      <c r="G156" s="260" t="str">
        <f t="shared" si="42"/>
        <v>#REF!</v>
      </c>
      <c r="H156" s="410" t="s">
        <v>21</v>
      </c>
      <c r="I156" s="260" t="str">
        <f t="shared" si="43"/>
        <v>#REF!</v>
      </c>
      <c r="J156" s="264" t="s">
        <v>22</v>
      </c>
      <c r="K156" s="265" t="s">
        <v>20</v>
      </c>
      <c r="L156" s="266" t="s">
        <v>23</v>
      </c>
      <c r="M156" s="266" t="s">
        <v>1592</v>
      </c>
      <c r="N156" s="266" t="e">
        <v>#N/A</v>
      </c>
      <c r="O156" s="266" t="s">
        <v>25</v>
      </c>
      <c r="P156" s="266" t="s">
        <v>1593</v>
      </c>
      <c r="Q156" s="277" t="s">
        <v>1330</v>
      </c>
    </row>
    <row r="157" hidden="1">
      <c r="A157" s="33">
        <v>1066.0</v>
      </c>
      <c r="B157" s="34">
        <v>1066.0</v>
      </c>
      <c r="C157" s="289">
        <v>73.0</v>
      </c>
      <c r="D157" s="403">
        <f>IFERROR(__xludf.DUMMYFUNCTION("if(B157&lt;=999,if(B157&lt;=99,IF(B157&lt;=9,join(,""000"",B157),join(,""00"",B157)),join(,""0"",B157)),B157)"),1066.0)</f>
        <v>1066</v>
      </c>
      <c r="E157" s="296" t="s">
        <v>380</v>
      </c>
      <c r="F157" s="289" t="s">
        <v>20</v>
      </c>
      <c r="G157" s="289" t="str">
        <f t="shared" si="42"/>
        <v>#REF!</v>
      </c>
      <c r="H157" s="399" t="s">
        <v>21</v>
      </c>
      <c r="I157" s="289" t="str">
        <f t="shared" si="43"/>
        <v>#REF!</v>
      </c>
      <c r="J157" s="400" t="s">
        <v>77</v>
      </c>
      <c r="K157" s="290" t="s">
        <v>20</v>
      </c>
      <c r="L157" s="401" t="s">
        <v>381</v>
      </c>
      <c r="M157" s="401" t="s">
        <v>382</v>
      </c>
      <c r="N157" s="401">
        <v>80.0</v>
      </c>
      <c r="O157" s="401" t="s">
        <v>25</v>
      </c>
      <c r="P157" s="401" t="s">
        <v>383</v>
      </c>
      <c r="Q157" s="407" t="s">
        <v>1330</v>
      </c>
    </row>
    <row r="158" hidden="1">
      <c r="A158" s="469">
        <v>1355.0</v>
      </c>
      <c r="B158" s="469">
        <v>1355.0</v>
      </c>
      <c r="C158" s="416">
        <v>74.0</v>
      </c>
      <c r="D158" s="416">
        <f>IFERROR(__xludf.DUMMYFUNCTION("if(B158&lt;=999,if(B158&lt;=99,IF(B158&lt;=9,join(,""000"",B158),join(,""00"",B158)),join(,""0"",B158)),B158)"),1355.0)</f>
        <v>1355</v>
      </c>
      <c r="E158" s="470" t="s">
        <v>384</v>
      </c>
      <c r="F158" s="416" t="s">
        <v>20</v>
      </c>
      <c r="G158" s="416" t="str">
        <f t="shared" si="42"/>
        <v>#REF!</v>
      </c>
      <c r="H158" s="416" t="s">
        <v>21</v>
      </c>
      <c r="I158" s="416" t="str">
        <f t="shared" si="43"/>
        <v>#REF!</v>
      </c>
      <c r="J158" s="471" t="s">
        <v>77</v>
      </c>
      <c r="K158" s="472" t="s">
        <v>20</v>
      </c>
      <c r="L158" s="423" t="s">
        <v>381</v>
      </c>
      <c r="M158" s="423" t="s">
        <v>376</v>
      </c>
      <c r="N158" s="423">
        <v>80.0</v>
      </c>
      <c r="O158" s="423" t="s">
        <v>25</v>
      </c>
      <c r="P158" s="423" t="s">
        <v>55</v>
      </c>
      <c r="Q158" s="423" t="s">
        <v>1330</v>
      </c>
    </row>
    <row r="159" hidden="1">
      <c r="A159" s="51">
        <v>1140.0</v>
      </c>
      <c r="B159" s="51">
        <v>1140.0</v>
      </c>
      <c r="C159" s="289"/>
      <c r="D159" s="403">
        <f>IFERROR(__xludf.DUMMYFUNCTION("if(B159&lt;=999,if(B159&lt;=99,IF(B159&lt;=9,join(,""000"",B159),join(,""00"",B159)),join(,""0"",B159)),B159)"),1140.0)</f>
        <v>1140</v>
      </c>
      <c r="E159" s="326" t="s">
        <v>385</v>
      </c>
      <c r="F159" s="325" t="s">
        <v>20</v>
      </c>
      <c r="G159" s="289" t="str">
        <f t="shared" si="42"/>
        <v>#REF!</v>
      </c>
      <c r="H159" s="408" t="s">
        <v>21</v>
      </c>
      <c r="I159" s="289" t="str">
        <f t="shared" si="43"/>
        <v>#REF!</v>
      </c>
      <c r="J159" s="400" t="s">
        <v>34</v>
      </c>
      <c r="K159" s="328" t="s">
        <v>20</v>
      </c>
      <c r="L159" s="329" t="s">
        <v>381</v>
      </c>
      <c r="M159" s="291" t="s">
        <v>387</v>
      </c>
      <c r="N159" s="401"/>
      <c r="O159" s="439" t="s">
        <v>389</v>
      </c>
      <c r="P159" s="383" t="s">
        <v>390</v>
      </c>
      <c r="Q159" s="414" t="s">
        <v>1330</v>
      </c>
    </row>
    <row r="160" hidden="1">
      <c r="A160" s="324">
        <v>1127.0</v>
      </c>
      <c r="B160" s="324">
        <v>1127.0</v>
      </c>
      <c r="C160" s="418"/>
      <c r="D160" s="418">
        <f>IFERROR(__xludf.DUMMYFUNCTION("if(B160&lt;=999,if(B160&lt;=99,IF(B160&lt;=9,join(,""000"",B160),join(,""00"",B160)),join(,""0"",B160)),B160)"),1127.0)</f>
        <v>1127</v>
      </c>
      <c r="E160" s="442" t="s">
        <v>392</v>
      </c>
      <c r="F160" s="418" t="s">
        <v>20</v>
      </c>
      <c r="G160" s="418" t="str">
        <f t="shared" si="42"/>
        <v>#REF!</v>
      </c>
      <c r="H160" s="419" t="s">
        <v>21</v>
      </c>
      <c r="I160" s="418" t="str">
        <f t="shared" si="43"/>
        <v>#REF!</v>
      </c>
      <c r="J160" s="420" t="s">
        <v>34</v>
      </c>
      <c r="K160" s="421" t="s">
        <v>20</v>
      </c>
      <c r="L160" s="422" t="s">
        <v>381</v>
      </c>
      <c r="M160" s="443" t="s">
        <v>387</v>
      </c>
      <c r="N160" s="422"/>
      <c r="O160" s="450" t="s">
        <v>25</v>
      </c>
      <c r="P160" s="450" t="s">
        <v>390</v>
      </c>
      <c r="Q160" s="423" t="s">
        <v>1330</v>
      </c>
    </row>
    <row r="161" hidden="1">
      <c r="A161" s="51">
        <v>1136.0</v>
      </c>
      <c r="B161" s="51">
        <v>1136.0</v>
      </c>
      <c r="C161" s="289">
        <v>75.0</v>
      </c>
      <c r="D161" s="289">
        <f>IFERROR(__xludf.DUMMYFUNCTION("if(B161&lt;=999,if(B161&lt;=99,IF(B161&lt;=9,join(,""000"",B161),join(,""00"",B161)),join(,""0"",B161)),B161)"),1136.0)</f>
        <v>1136</v>
      </c>
      <c r="E161" s="301" t="s">
        <v>395</v>
      </c>
      <c r="F161" s="325" t="s">
        <v>20</v>
      </c>
      <c r="G161" s="289" t="str">
        <f t="shared" si="42"/>
        <v>#REF!</v>
      </c>
      <c r="H161" s="408" t="s">
        <v>21</v>
      </c>
      <c r="I161" s="289" t="str">
        <f t="shared" si="43"/>
        <v>#REF!</v>
      </c>
      <c r="J161" s="400" t="s">
        <v>22</v>
      </c>
      <c r="K161" s="328" t="s">
        <v>20</v>
      </c>
      <c r="L161" s="329"/>
      <c r="M161" s="329" t="s">
        <v>396</v>
      </c>
      <c r="N161" s="401" t="s">
        <v>397</v>
      </c>
      <c r="O161" s="329" t="s">
        <v>25</v>
      </c>
      <c r="P161" s="329" t="s">
        <v>398</v>
      </c>
      <c r="Q161" s="414" t="s">
        <v>1330</v>
      </c>
    </row>
    <row r="162" hidden="1">
      <c r="A162" s="51">
        <v>1317.0</v>
      </c>
      <c r="B162" s="51">
        <v>1317.0</v>
      </c>
      <c r="C162" s="289">
        <v>76.0</v>
      </c>
      <c r="D162" s="289">
        <f>IFERROR(__xludf.DUMMYFUNCTION("if(B162&lt;=999,if(B162&lt;=99,IF(B162&lt;=9,join(,""000"",B162),join(,""00"",B162)),join(,""0"",B162)),B162)"),1317.0)</f>
        <v>1317</v>
      </c>
      <c r="E162" s="301" t="s">
        <v>399</v>
      </c>
      <c r="F162" s="325" t="s">
        <v>20</v>
      </c>
      <c r="G162" s="289" t="str">
        <f t="shared" si="42"/>
        <v>#REF!</v>
      </c>
      <c r="H162" s="408" t="s">
        <v>21</v>
      </c>
      <c r="I162" s="289" t="str">
        <f t="shared" si="43"/>
        <v>#REF!</v>
      </c>
      <c r="J162" s="400" t="s">
        <v>34</v>
      </c>
      <c r="K162" s="328" t="s">
        <v>20</v>
      </c>
      <c r="L162" s="329"/>
      <c r="M162" s="329" t="s">
        <v>400</v>
      </c>
      <c r="N162" s="401">
        <v>80.0</v>
      </c>
      <c r="O162" s="329" t="s">
        <v>25</v>
      </c>
      <c r="P162" s="329" t="s">
        <v>55</v>
      </c>
      <c r="Q162" s="414" t="s">
        <v>1330</v>
      </c>
    </row>
    <row r="163" hidden="1">
      <c r="A163" s="51">
        <v>1425.0</v>
      </c>
      <c r="B163" s="51">
        <v>1425.0</v>
      </c>
      <c r="C163" s="298">
        <v>77.0</v>
      </c>
      <c r="D163" s="403">
        <f>IFERROR(__xludf.DUMMYFUNCTION("if(B163&lt;=999,if(B163&lt;=99,IF(B163&lt;=9,join(,""000"",B163),join(,""00"",B163)),join(,""0"",B163)),B163)"),1425.0)</f>
        <v>1425</v>
      </c>
      <c r="E163" s="301" t="s">
        <v>401</v>
      </c>
      <c r="F163" s="325" t="s">
        <v>20</v>
      </c>
      <c r="G163" s="289" t="str">
        <f t="shared" si="42"/>
        <v>#REF!</v>
      </c>
      <c r="H163" s="408" t="s">
        <v>21</v>
      </c>
      <c r="I163" s="289" t="str">
        <f t="shared" si="43"/>
        <v>#REF!</v>
      </c>
      <c r="J163" s="400" t="s">
        <v>99</v>
      </c>
      <c r="K163" s="328" t="s">
        <v>20</v>
      </c>
      <c r="L163" s="329" t="s">
        <v>381</v>
      </c>
      <c r="M163" s="291" t="s">
        <v>402</v>
      </c>
      <c r="N163" s="401">
        <v>80.0</v>
      </c>
      <c r="O163" s="329" t="s">
        <v>25</v>
      </c>
      <c r="P163" s="329" t="s">
        <v>55</v>
      </c>
      <c r="Q163" s="407" t="s">
        <v>1330</v>
      </c>
    </row>
    <row r="164" hidden="1">
      <c r="A164" s="51">
        <v>1097.0</v>
      </c>
      <c r="B164" s="51">
        <v>1097.0</v>
      </c>
      <c r="C164" s="289">
        <v>78.0</v>
      </c>
      <c r="D164" s="403">
        <f>IFERROR(__xludf.DUMMYFUNCTION("if(B164&lt;=999,if(B164&lt;=99,IF(B164&lt;=9,join(,""000"",B164),join(,""00"",B164)),join(,""0"",B164)),B164)"),1097.0)</f>
        <v>1097</v>
      </c>
      <c r="E164" s="301" t="s">
        <v>403</v>
      </c>
      <c r="F164" s="325" t="s">
        <v>20</v>
      </c>
      <c r="G164" s="289" t="str">
        <f t="shared" si="42"/>
        <v>#REF!</v>
      </c>
      <c r="H164" s="408" t="s">
        <v>21</v>
      </c>
      <c r="I164" s="289" t="str">
        <f t="shared" si="43"/>
        <v>#REF!</v>
      </c>
      <c r="J164" s="400" t="s">
        <v>99</v>
      </c>
      <c r="K164" s="328" t="s">
        <v>20</v>
      </c>
      <c r="L164" s="329" t="s">
        <v>381</v>
      </c>
      <c r="M164" s="473" t="s">
        <v>404</v>
      </c>
      <c r="N164" s="401">
        <v>16.0</v>
      </c>
      <c r="O164" s="439" t="s">
        <v>25</v>
      </c>
      <c r="P164" s="439" t="s">
        <v>405</v>
      </c>
      <c r="Q164" s="414" t="s">
        <v>1330</v>
      </c>
    </row>
    <row r="165" hidden="1">
      <c r="A165" s="324">
        <v>1245.0</v>
      </c>
      <c r="B165" s="324">
        <v>1245.0</v>
      </c>
      <c r="C165" s="418">
        <v>79.0</v>
      </c>
      <c r="D165" s="418">
        <f>IFERROR(__xludf.DUMMYFUNCTION("if(B165&lt;=999,if(B165&lt;=99,IF(B165&lt;=9,join(,""000"",B165),join(,""00"",B165)),join(,""0"",B165)),B165)"),1245.0)</f>
        <v>1245</v>
      </c>
      <c r="E165" s="417" t="s">
        <v>407</v>
      </c>
      <c r="F165" s="418" t="s">
        <v>20</v>
      </c>
      <c r="G165" s="418" t="s">
        <v>1594</v>
      </c>
      <c r="H165" s="419" t="s">
        <v>21</v>
      </c>
      <c r="I165" s="418">
        <v>9.140373827E9</v>
      </c>
      <c r="J165" s="420" t="s">
        <v>99</v>
      </c>
      <c r="K165" s="421" t="s">
        <v>20</v>
      </c>
      <c r="L165" s="422" t="s">
        <v>381</v>
      </c>
      <c r="M165" s="422" t="s">
        <v>404</v>
      </c>
      <c r="N165" s="422">
        <v>16.0</v>
      </c>
      <c r="O165" s="474" t="s">
        <v>25</v>
      </c>
      <c r="P165" s="474" t="s">
        <v>405</v>
      </c>
      <c r="Q165" s="423" t="s">
        <v>1330</v>
      </c>
    </row>
    <row r="166" hidden="1">
      <c r="A166" s="324">
        <v>1099.0</v>
      </c>
      <c r="B166" s="324">
        <v>1099.0</v>
      </c>
      <c r="C166" s="418"/>
      <c r="D166" s="418">
        <f>IFERROR(__xludf.DUMMYFUNCTION("if(B166&lt;=999,if(B166&lt;=99,IF(B166&lt;=9,join(,""000"",B166),join(,""00"",B166)),join(,""0"",B166)),B166)"),1099.0)</f>
        <v>1099</v>
      </c>
      <c r="E166" s="442" t="s">
        <v>408</v>
      </c>
      <c r="F166" s="418" t="s">
        <v>20</v>
      </c>
      <c r="G166" s="418" t="str">
        <f t="shared" ref="G166:G193" si="44">VLOOKUP(D166,'Copy of Form Responses; CCTV Infra 1'!$G$2:$I$675,2,false)</f>
        <v>#REF!</v>
      </c>
      <c r="H166" s="419" t="s">
        <v>21</v>
      </c>
      <c r="I166" s="418" t="str">
        <f t="shared" ref="I166:I193" si="45">VLOOKUP(D166,'Copy of Form Responses; CCTV Infra 1'!$G$2:$I$675,3,false)</f>
        <v>#REF!</v>
      </c>
      <c r="J166" s="420" t="s">
        <v>73</v>
      </c>
      <c r="K166" s="421" t="s">
        <v>20</v>
      </c>
      <c r="L166" s="422" t="s">
        <v>95</v>
      </c>
      <c r="M166" s="475" t="s">
        <v>1595</v>
      </c>
      <c r="N166" s="422" t="s">
        <v>410</v>
      </c>
      <c r="O166" s="422" t="s">
        <v>1596</v>
      </c>
      <c r="P166" s="422" t="s">
        <v>55</v>
      </c>
      <c r="Q166" s="423" t="s">
        <v>1330</v>
      </c>
    </row>
    <row r="167" hidden="1">
      <c r="A167" s="324">
        <v>1256.0</v>
      </c>
      <c r="B167" s="415">
        <v>1256.0</v>
      </c>
      <c r="C167" s="416">
        <v>80.0</v>
      </c>
      <c r="D167" s="418">
        <f>IFERROR(__xludf.DUMMYFUNCTION("if(B167&lt;=999,if(B167&lt;=99,IF(B167&lt;=9,join(,""000"",B167),join(,""00"",B167)),join(,""0"",B167)),B167)"),1256.0)</f>
        <v>1256</v>
      </c>
      <c r="E167" s="417" t="s">
        <v>411</v>
      </c>
      <c r="F167" s="418" t="s">
        <v>20</v>
      </c>
      <c r="G167" s="418" t="str">
        <f t="shared" si="44"/>
        <v>#REF!</v>
      </c>
      <c r="H167" s="419" t="s">
        <v>21</v>
      </c>
      <c r="I167" s="418" t="str">
        <f t="shared" si="45"/>
        <v>#REF!</v>
      </c>
      <c r="J167" s="420" t="s">
        <v>73</v>
      </c>
      <c r="K167" s="421" t="s">
        <v>20</v>
      </c>
      <c r="L167" s="422" t="s">
        <v>95</v>
      </c>
      <c r="M167" s="476" t="s">
        <v>1597</v>
      </c>
      <c r="N167" s="422" t="s">
        <v>410</v>
      </c>
      <c r="O167" s="422" t="s">
        <v>25</v>
      </c>
      <c r="P167" s="422" t="s">
        <v>55</v>
      </c>
      <c r="Q167" s="423" t="s">
        <v>1330</v>
      </c>
    </row>
    <row r="168">
      <c r="A168" s="51">
        <v>77.0</v>
      </c>
      <c r="B168" s="51">
        <v>77.0</v>
      </c>
      <c r="C168" s="260">
        <v>18.0</v>
      </c>
      <c r="D168" s="260" t="str">
        <f>IFERROR(__xludf.DUMMYFUNCTION("if(B168&lt;=999,if(B168&lt;=99,IF(B168&lt;=9,join(,""000"",B168),join(,""00"",B168)),join(,""0"",B168)),B168)"),"0077")</f>
        <v>0077</v>
      </c>
      <c r="E168" s="270" t="s">
        <v>412</v>
      </c>
      <c r="F168" s="260" t="s">
        <v>20</v>
      </c>
      <c r="G168" s="260" t="str">
        <f t="shared" si="44"/>
        <v>#REF!</v>
      </c>
      <c r="H168" s="410" t="s">
        <v>21</v>
      </c>
      <c r="I168" s="260" t="str">
        <f t="shared" si="45"/>
        <v>#REF!</v>
      </c>
      <c r="J168" s="271"/>
      <c r="K168" s="411" t="str">
        <f>vlookup(D168,'Elligible Training Institutes R'!$D$9:$L$19,9,false)</f>
        <v>#N/A</v>
      </c>
      <c r="L168" s="329" t="s">
        <v>95</v>
      </c>
      <c r="M168" s="329" t="s">
        <v>1432</v>
      </c>
      <c r="N168" s="401">
        <v>8.0</v>
      </c>
      <c r="O168" s="329" t="s">
        <v>25</v>
      </c>
      <c r="P168" s="329" t="s">
        <v>1433</v>
      </c>
      <c r="Q168" s="412" t="s">
        <v>87</v>
      </c>
    </row>
    <row r="169" hidden="1">
      <c r="A169" s="51">
        <v>742.0</v>
      </c>
      <c r="B169" s="51">
        <v>742.0</v>
      </c>
      <c r="C169" s="289">
        <v>81.0</v>
      </c>
      <c r="D169" s="289" t="str">
        <f>IFERROR(__xludf.DUMMYFUNCTION("if(B169&lt;=999,if(B169&lt;=99,IF(B169&lt;=9,join(,""000"",B169),join(,""00"",B169)),join(,""0"",B169)),B169)"),"0742")</f>
        <v>0742</v>
      </c>
      <c r="E169" s="301" t="s">
        <v>413</v>
      </c>
      <c r="F169" s="325" t="s">
        <v>20</v>
      </c>
      <c r="G169" s="289" t="str">
        <f t="shared" si="44"/>
        <v>#REF!</v>
      </c>
      <c r="H169" s="408" t="s">
        <v>21</v>
      </c>
      <c r="I169" s="289" t="str">
        <f t="shared" si="45"/>
        <v>#REF!</v>
      </c>
      <c r="J169" s="400" t="s">
        <v>77</v>
      </c>
      <c r="K169" s="328" t="s">
        <v>20</v>
      </c>
      <c r="L169" s="329" t="s">
        <v>28</v>
      </c>
      <c r="M169" s="329" t="s">
        <v>1598</v>
      </c>
      <c r="N169" s="401" t="s">
        <v>414</v>
      </c>
      <c r="O169" s="329" t="s">
        <v>25</v>
      </c>
      <c r="P169" s="329" t="s">
        <v>55</v>
      </c>
      <c r="Q169" s="414" t="s">
        <v>1330</v>
      </c>
    </row>
    <row r="170">
      <c r="A170" s="51">
        <v>1064.0</v>
      </c>
      <c r="B170" s="51">
        <v>1064.0</v>
      </c>
      <c r="C170" s="260">
        <v>19.0</v>
      </c>
      <c r="D170" s="260">
        <f>IFERROR(__xludf.DUMMYFUNCTION("if(B170&lt;=999,if(B170&lt;=99,IF(B170&lt;=9,join(,""000"",B170),join(,""00"",B170)),join(,""0"",B170)),B170)"),1064.0)</f>
        <v>1064</v>
      </c>
      <c r="E170" s="270" t="s">
        <v>100</v>
      </c>
      <c r="F170" s="260" t="s">
        <v>20</v>
      </c>
      <c r="G170" s="260" t="str">
        <f t="shared" si="44"/>
        <v>#REF!</v>
      </c>
      <c r="H170" s="410" t="s">
        <v>21</v>
      </c>
      <c r="I170" s="260" t="str">
        <f t="shared" si="45"/>
        <v>#REF!</v>
      </c>
      <c r="J170" s="264" t="s">
        <v>101</v>
      </c>
      <c r="K170" s="411" t="str">
        <f>vlookup(D170,'Elligible Training Institutes R'!$D$9:$L$19,9,false)</f>
        <v>#N/A</v>
      </c>
      <c r="L170" s="329" t="s">
        <v>95</v>
      </c>
      <c r="M170" s="291" t="s">
        <v>102</v>
      </c>
      <c r="N170" s="401" t="s">
        <v>103</v>
      </c>
      <c r="O170" s="439" t="s">
        <v>104</v>
      </c>
      <c r="P170" s="439">
        <v>888888.0</v>
      </c>
      <c r="Q170" s="412" t="s">
        <v>1599</v>
      </c>
    </row>
    <row r="171" hidden="1">
      <c r="A171" s="51">
        <v>243.0</v>
      </c>
      <c r="B171" s="51">
        <v>243.0</v>
      </c>
      <c r="C171" s="289">
        <v>82.0</v>
      </c>
      <c r="D171" s="403">
        <v>24.0</v>
      </c>
      <c r="E171" s="301" t="s">
        <v>418</v>
      </c>
      <c r="F171" s="325" t="s">
        <v>20</v>
      </c>
      <c r="G171" s="289" t="str">
        <f t="shared" si="44"/>
        <v>#REF!</v>
      </c>
      <c r="H171" s="408" t="s">
        <v>21</v>
      </c>
      <c r="I171" s="289" t="str">
        <f t="shared" si="45"/>
        <v>#REF!</v>
      </c>
      <c r="J171" s="400" t="s">
        <v>77</v>
      </c>
      <c r="K171" s="328" t="s">
        <v>20</v>
      </c>
      <c r="L171" s="393" t="s">
        <v>355</v>
      </c>
      <c r="M171" s="393" t="s">
        <v>419</v>
      </c>
      <c r="N171" s="401">
        <v>18.0</v>
      </c>
      <c r="O171" s="393" t="s">
        <v>25</v>
      </c>
      <c r="P171" s="393" t="s">
        <v>420</v>
      </c>
      <c r="Q171" s="414" t="s">
        <v>1330</v>
      </c>
    </row>
    <row r="172" hidden="1">
      <c r="A172" s="51">
        <v>217.0</v>
      </c>
      <c r="B172" s="51">
        <v>217.0</v>
      </c>
      <c r="C172" s="260">
        <v>21.0</v>
      </c>
      <c r="D172" s="260" t="str">
        <f>IFERROR(__xludf.DUMMYFUNCTION("if(B172&lt;=999,if(B172&lt;=99,IF(B172&lt;=9,join(,""000"",B172),join(,""00"",B172)),join(,""0"",B172)),B172)"),"0217")</f>
        <v>0217</v>
      </c>
      <c r="E172" s="270" t="s">
        <v>449</v>
      </c>
      <c r="F172" s="260" t="s">
        <v>20</v>
      </c>
      <c r="G172" s="260" t="str">
        <f t="shared" si="44"/>
        <v>#REF!</v>
      </c>
      <c r="H172" s="410" t="s">
        <v>21</v>
      </c>
      <c r="I172" s="260" t="str">
        <f t="shared" si="45"/>
        <v>#REF!</v>
      </c>
      <c r="J172" s="264" t="s">
        <v>22</v>
      </c>
      <c r="K172" s="411" t="str">
        <f>vlookup(D172,'Elligible Training Institutes R'!$D$9:$L$19,8,false)</f>
        <v>#N/A</v>
      </c>
      <c r="L172" s="329" t="s">
        <v>355</v>
      </c>
      <c r="M172" s="329" t="s">
        <v>1600</v>
      </c>
      <c r="N172" s="401" t="s">
        <v>450</v>
      </c>
      <c r="O172" s="329" t="s">
        <v>25</v>
      </c>
      <c r="P172" s="329" t="s">
        <v>86</v>
      </c>
      <c r="Q172" s="412" t="s">
        <v>451</v>
      </c>
    </row>
    <row r="173" hidden="1">
      <c r="A173" s="33">
        <v>44.0</v>
      </c>
      <c r="B173" s="34">
        <v>44.0</v>
      </c>
      <c r="C173" s="298">
        <v>83.0</v>
      </c>
      <c r="D173" s="403" t="str">
        <f>IFERROR(__xludf.DUMMYFUNCTION("if(B173&lt;=999,if(B173&lt;=99,IF(B173&lt;=9,join(,""000"",B173),join(,""00"",B173)),join(,""0"",B173)),B173)"),"0044")</f>
        <v>0044</v>
      </c>
      <c r="E173" s="296" t="s">
        <v>423</v>
      </c>
      <c r="F173" s="289" t="s">
        <v>20</v>
      </c>
      <c r="G173" s="289" t="str">
        <f t="shared" si="44"/>
        <v>#REF!</v>
      </c>
      <c r="H173" s="399" t="s">
        <v>21</v>
      </c>
      <c r="I173" s="289" t="str">
        <f t="shared" si="45"/>
        <v>#REF!</v>
      </c>
      <c r="J173" s="400" t="s">
        <v>99</v>
      </c>
      <c r="K173" s="290" t="s">
        <v>20</v>
      </c>
      <c r="L173" s="401" t="s">
        <v>95</v>
      </c>
      <c r="M173" s="401" t="s">
        <v>424</v>
      </c>
      <c r="N173" s="401" t="s">
        <v>425</v>
      </c>
      <c r="O173" s="401" t="s">
        <v>25</v>
      </c>
      <c r="P173" s="401" t="s">
        <v>426</v>
      </c>
      <c r="Q173" s="414" t="s">
        <v>1330</v>
      </c>
    </row>
    <row r="174" hidden="1">
      <c r="A174" s="51">
        <v>803.0</v>
      </c>
      <c r="B174" s="51">
        <v>803.0</v>
      </c>
      <c r="C174" s="289">
        <v>84.0</v>
      </c>
      <c r="D174" s="403" t="str">
        <f>IFERROR(__xludf.DUMMYFUNCTION("if(B174&lt;=999,if(B174&lt;=99,IF(B174&lt;=9,join(,""000"",B174),join(,""00"",B174)),join(,""0"",B174)),B174)"),"0803")</f>
        <v>0803</v>
      </c>
      <c r="E174" s="301" t="s">
        <v>427</v>
      </c>
      <c r="F174" s="325" t="s">
        <v>20</v>
      </c>
      <c r="G174" s="289" t="str">
        <f t="shared" si="44"/>
        <v>#REF!</v>
      </c>
      <c r="H174" s="408" t="s">
        <v>21</v>
      </c>
      <c r="I174" s="289" t="str">
        <f t="shared" si="45"/>
        <v>#REF!</v>
      </c>
      <c r="J174" s="400" t="s">
        <v>22</v>
      </c>
      <c r="K174" s="328" t="s">
        <v>20</v>
      </c>
      <c r="L174" s="329" t="s">
        <v>355</v>
      </c>
      <c r="M174" s="329" t="s">
        <v>428</v>
      </c>
      <c r="N174" s="401">
        <v>25001.0</v>
      </c>
      <c r="O174" s="329" t="s">
        <v>25</v>
      </c>
      <c r="P174" s="329" t="s">
        <v>86</v>
      </c>
      <c r="Q174" s="414" t="s">
        <v>1330</v>
      </c>
    </row>
    <row r="175">
      <c r="A175" s="324">
        <v>469.0</v>
      </c>
      <c r="B175" s="324">
        <v>469.0</v>
      </c>
      <c r="C175" s="260">
        <v>20.0</v>
      </c>
      <c r="D175" s="260" t="str">
        <f>IFERROR(__xludf.DUMMYFUNCTION("if(B175&lt;=999,if(B175&lt;=99,IF(B175&lt;=9,join(,""000"",B175),join(,""00"",B175)),join(,""0"",B175)),B175)"),"0469")</f>
        <v>0469</v>
      </c>
      <c r="E175" s="270" t="s">
        <v>462</v>
      </c>
      <c r="F175" s="260" t="s">
        <v>20</v>
      </c>
      <c r="G175" s="260" t="str">
        <f t="shared" si="44"/>
        <v>#REF!</v>
      </c>
      <c r="H175" s="410" t="s">
        <v>21</v>
      </c>
      <c r="I175" s="260" t="str">
        <f t="shared" si="45"/>
        <v>#REF!</v>
      </c>
      <c r="J175" s="264" t="s">
        <v>34</v>
      </c>
      <c r="K175" s="411" t="str">
        <f>vlookup(D175,'Elligible Training Institutes R'!$D$9:$L$19,9,false)</f>
        <v>#N/A</v>
      </c>
      <c r="L175" s="422" t="s">
        <v>95</v>
      </c>
      <c r="M175" s="422"/>
      <c r="N175" s="422" t="e">
        <v>#N/A</v>
      </c>
      <c r="O175" s="422"/>
      <c r="P175" s="422"/>
      <c r="Q175" s="460" t="s">
        <v>43</v>
      </c>
    </row>
    <row r="176" hidden="1">
      <c r="A176" s="45">
        <v>453.0</v>
      </c>
      <c r="B176" s="45">
        <v>453.0</v>
      </c>
      <c r="C176" s="289">
        <v>85.0</v>
      </c>
      <c r="D176" s="298" t="str">
        <f>IFERROR(__xludf.DUMMYFUNCTION("if(B176&lt;=999,if(B176&lt;=99,IF(B176&lt;=9,join(,""000"",B176),join(,""00"",B176)),join(,""0"",B176)),B176)"),"0453")</f>
        <v>0453</v>
      </c>
      <c r="E176" s="299" t="s">
        <v>431</v>
      </c>
      <c r="F176" s="298" t="s">
        <v>20</v>
      </c>
      <c r="G176" s="298" t="str">
        <f t="shared" si="44"/>
        <v>#REF!</v>
      </c>
      <c r="H176" s="298" t="s">
        <v>21</v>
      </c>
      <c r="I176" s="298" t="str">
        <f t="shared" si="45"/>
        <v>#REF!</v>
      </c>
      <c r="J176" s="405" t="s">
        <v>63</v>
      </c>
      <c r="K176" s="406" t="s">
        <v>20</v>
      </c>
      <c r="L176" s="407" t="s">
        <v>23</v>
      </c>
      <c r="M176" s="407" t="s">
        <v>432</v>
      </c>
      <c r="N176" s="407">
        <v>80.0</v>
      </c>
      <c r="O176" s="407" t="s">
        <v>25</v>
      </c>
      <c r="P176" s="407" t="s">
        <v>55</v>
      </c>
      <c r="Q176" s="414" t="s">
        <v>1330</v>
      </c>
    </row>
    <row r="177" hidden="1">
      <c r="A177" s="51">
        <v>1060.0</v>
      </c>
      <c r="B177" s="51">
        <v>1060.0</v>
      </c>
      <c r="C177" s="298">
        <v>86.0</v>
      </c>
      <c r="D177" s="289">
        <f>IFERROR(__xludf.DUMMYFUNCTION("if(B177&lt;=999,if(B177&lt;=99,IF(B177&lt;=9,join(,""000"",B177),join(,""00"",B177)),join(,""0"",B177)),B177)"),1060.0)</f>
        <v>1060</v>
      </c>
      <c r="E177" s="301" t="s">
        <v>433</v>
      </c>
      <c r="F177" s="325" t="s">
        <v>20</v>
      </c>
      <c r="G177" s="289" t="str">
        <f t="shared" si="44"/>
        <v>#REF!</v>
      </c>
      <c r="H177" s="408" t="s">
        <v>21</v>
      </c>
      <c r="I177" s="289" t="str">
        <f t="shared" si="45"/>
        <v>#REF!</v>
      </c>
      <c r="J177" s="400" t="s">
        <v>99</v>
      </c>
      <c r="K177" s="328" t="s">
        <v>20</v>
      </c>
      <c r="L177" s="438" t="s">
        <v>23</v>
      </c>
      <c r="M177" s="291" t="s">
        <v>434</v>
      </c>
      <c r="N177" s="401">
        <v>9030.0</v>
      </c>
      <c r="O177" s="439" t="s">
        <v>104</v>
      </c>
      <c r="P177" s="439" t="s">
        <v>435</v>
      </c>
      <c r="Q177" s="414" t="s">
        <v>1330</v>
      </c>
    </row>
    <row r="178" hidden="1">
      <c r="A178" s="51">
        <v>1092.0</v>
      </c>
      <c r="B178" s="51">
        <v>1092.0</v>
      </c>
      <c r="C178" s="289">
        <v>87.0</v>
      </c>
      <c r="D178" s="289">
        <f>IFERROR(__xludf.DUMMYFUNCTION("if(B178&lt;=999,if(B178&lt;=99,IF(B178&lt;=9,join(,""000"",B178),join(,""00"",B178)),join(,""0"",B178)),B178)"),1092.0)</f>
        <v>1092</v>
      </c>
      <c r="E178" s="301" t="s">
        <v>436</v>
      </c>
      <c r="F178" s="325" t="s">
        <v>20</v>
      </c>
      <c r="G178" s="289" t="str">
        <f t="shared" si="44"/>
        <v>#REF!</v>
      </c>
      <c r="H178" s="408" t="s">
        <v>21</v>
      </c>
      <c r="I178" s="289" t="str">
        <f t="shared" si="45"/>
        <v>#REF!</v>
      </c>
      <c r="J178" s="400" t="s">
        <v>63</v>
      </c>
      <c r="K178" s="328" t="s">
        <v>20</v>
      </c>
      <c r="L178" s="329" t="s">
        <v>23</v>
      </c>
      <c r="M178" s="291" t="s">
        <v>434</v>
      </c>
      <c r="N178" s="401">
        <v>9030.0</v>
      </c>
      <c r="O178" s="329" t="s">
        <v>104</v>
      </c>
      <c r="P178" s="439" t="s">
        <v>435</v>
      </c>
      <c r="Q178" s="414" t="s">
        <v>1330</v>
      </c>
    </row>
    <row r="179" hidden="1">
      <c r="A179" s="51">
        <v>215.0</v>
      </c>
      <c r="B179" s="51">
        <v>215.0</v>
      </c>
      <c r="C179" s="289">
        <v>88.0</v>
      </c>
      <c r="D179" s="289" t="str">
        <f>IFERROR(__xludf.DUMMYFUNCTION("if(B179&lt;=999,if(B179&lt;=99,IF(B179&lt;=9,join(,""000"",B179),join(,""00"",B179)),join(,""0"",B179)),B179)"),"0215")</f>
        <v>0215</v>
      </c>
      <c r="E179" s="301" t="s">
        <v>437</v>
      </c>
      <c r="F179" s="325" t="s">
        <v>20</v>
      </c>
      <c r="G179" s="289" t="str">
        <f t="shared" si="44"/>
        <v>#REF!</v>
      </c>
      <c r="H179" s="408" t="s">
        <v>21</v>
      </c>
      <c r="I179" s="289" t="str">
        <f t="shared" si="45"/>
        <v>#REF!</v>
      </c>
      <c r="J179" s="400" t="s">
        <v>77</v>
      </c>
      <c r="K179" s="477" t="s">
        <v>20</v>
      </c>
      <c r="L179" s="329" t="s">
        <v>137</v>
      </c>
      <c r="M179" s="329" t="s">
        <v>438</v>
      </c>
      <c r="N179" s="401" t="s">
        <v>439</v>
      </c>
      <c r="O179" s="329" t="s">
        <v>1601</v>
      </c>
      <c r="P179" s="329" t="s">
        <v>1602</v>
      </c>
      <c r="Q179" s="414" t="s">
        <v>1330</v>
      </c>
    </row>
    <row r="180" hidden="1">
      <c r="A180" s="33">
        <v>691.0</v>
      </c>
      <c r="B180" s="34">
        <v>691.0</v>
      </c>
      <c r="C180" s="298">
        <v>89.0</v>
      </c>
      <c r="D180" s="289" t="str">
        <f>IFERROR(__xludf.DUMMYFUNCTION("if(B180&lt;=999,if(B180&lt;=99,IF(B180&lt;=9,join(,""000"",B180),join(,""00"",B180)),join(,""0"",B180)),B180)"),"0691")</f>
        <v>0691</v>
      </c>
      <c r="E180" s="296" t="s">
        <v>441</v>
      </c>
      <c r="F180" s="289" t="s">
        <v>20</v>
      </c>
      <c r="G180" s="289" t="str">
        <f t="shared" si="44"/>
        <v>#REF!</v>
      </c>
      <c r="H180" s="399" t="s">
        <v>21</v>
      </c>
      <c r="I180" s="289" t="str">
        <f t="shared" si="45"/>
        <v>#REF!</v>
      </c>
      <c r="J180" s="400" t="s">
        <v>77</v>
      </c>
      <c r="K180" s="290" t="s">
        <v>20</v>
      </c>
      <c r="L180" s="401" t="s">
        <v>23</v>
      </c>
      <c r="M180" s="291" t="s">
        <v>442</v>
      </c>
      <c r="N180" s="401" t="s">
        <v>443</v>
      </c>
      <c r="O180" s="439" t="s">
        <v>444</v>
      </c>
      <c r="P180" s="439" t="s">
        <v>445</v>
      </c>
      <c r="Q180" s="414" t="s">
        <v>1330</v>
      </c>
    </row>
    <row r="181" hidden="1">
      <c r="A181" s="51">
        <v>1251.0</v>
      </c>
      <c r="B181" s="51">
        <v>1251.0</v>
      </c>
      <c r="C181" s="289">
        <v>90.0</v>
      </c>
      <c r="D181" s="403">
        <f>IFERROR(__xludf.DUMMYFUNCTION("if(B181&lt;=999,if(B181&lt;=99,IF(B181&lt;=9,join(,""000"",B181),join(,""00"",B181)),join(,""0"",B181)),B181)"),1251.0)</f>
        <v>1251</v>
      </c>
      <c r="E181" s="301" t="s">
        <v>446</v>
      </c>
      <c r="F181" s="325" t="s">
        <v>20</v>
      </c>
      <c r="G181" s="289" t="str">
        <f t="shared" si="44"/>
        <v>#REF!</v>
      </c>
      <c r="H181" s="408" t="s">
        <v>21</v>
      </c>
      <c r="I181" s="289" t="str">
        <f t="shared" si="45"/>
        <v>#REF!</v>
      </c>
      <c r="J181" s="400" t="s">
        <v>22</v>
      </c>
      <c r="K181" s="328" t="s">
        <v>20</v>
      </c>
      <c r="L181" s="329" t="s">
        <v>355</v>
      </c>
      <c r="M181" s="329" t="s">
        <v>447</v>
      </c>
      <c r="N181" s="401">
        <v>80.0</v>
      </c>
      <c r="O181" s="329" t="s">
        <v>25</v>
      </c>
      <c r="P181" s="329" t="s">
        <v>448</v>
      </c>
      <c r="Q181" s="414" t="s">
        <v>1330</v>
      </c>
    </row>
    <row r="182">
      <c r="A182" s="51">
        <v>56.0</v>
      </c>
      <c r="B182" s="51">
        <v>56.0</v>
      </c>
      <c r="C182" s="260">
        <v>21.0</v>
      </c>
      <c r="D182" s="260" t="str">
        <f>IFERROR(__xludf.DUMMYFUNCTION("if(B182&lt;=999,if(B182&lt;=99,IF(B182&lt;=9,join(,""000"",B182),join(,""00"",B182)),join(,""0"",B182)),B182)"),"0056")</f>
        <v>0056</v>
      </c>
      <c r="E182" s="270" t="s">
        <v>466</v>
      </c>
      <c r="F182" s="260" t="s">
        <v>20</v>
      </c>
      <c r="G182" s="260" t="str">
        <f t="shared" si="44"/>
        <v>#REF!</v>
      </c>
      <c r="H182" s="410" t="s">
        <v>21</v>
      </c>
      <c r="I182" s="260" t="str">
        <f t="shared" si="45"/>
        <v>#REF!</v>
      </c>
      <c r="J182" s="264" t="s">
        <v>22</v>
      </c>
      <c r="K182" s="411" t="str">
        <f>vlookup(D182,'Elligible Training Institutes R'!$D$9:$L$19,9,false)</f>
        <v>#N/A</v>
      </c>
      <c r="L182" s="329"/>
      <c r="M182" s="329"/>
      <c r="N182" s="401" t="e">
        <v>#N/A</v>
      </c>
      <c r="O182" s="329"/>
      <c r="P182" s="329"/>
      <c r="Q182" s="412" t="s">
        <v>43</v>
      </c>
    </row>
    <row r="183" hidden="1">
      <c r="A183" s="51">
        <v>910.0</v>
      </c>
      <c r="B183" s="51">
        <v>910.0</v>
      </c>
      <c r="C183" s="289">
        <v>91.0</v>
      </c>
      <c r="D183" s="289" t="str">
        <f>IFERROR(__xludf.DUMMYFUNCTION("if(B183&lt;=999,if(B183&lt;=99,IF(B183&lt;=9,join(,""000"",B183),join(,""00"",B183)),join(,""0"",B183)),B183)"),"0910")</f>
        <v>0910</v>
      </c>
      <c r="E183" s="301" t="s">
        <v>452</v>
      </c>
      <c r="F183" s="325" t="s">
        <v>20</v>
      </c>
      <c r="G183" s="289" t="str">
        <f t="shared" si="44"/>
        <v>#REF!</v>
      </c>
      <c r="H183" s="408" t="s">
        <v>21</v>
      </c>
      <c r="I183" s="289" t="str">
        <f t="shared" si="45"/>
        <v>#REF!</v>
      </c>
      <c r="J183" s="400" t="s">
        <v>77</v>
      </c>
      <c r="K183" s="328" t="s">
        <v>20</v>
      </c>
      <c r="L183" s="329" t="s">
        <v>28</v>
      </c>
      <c r="M183" s="329" t="s">
        <v>1603</v>
      </c>
      <c r="N183" s="401" t="s">
        <v>453</v>
      </c>
      <c r="O183" s="329" t="s">
        <v>25</v>
      </c>
      <c r="P183" s="329" t="s">
        <v>1604</v>
      </c>
      <c r="Q183" s="414" t="s">
        <v>1330</v>
      </c>
    </row>
    <row r="184" hidden="1">
      <c r="A184" s="33">
        <v>346.0</v>
      </c>
      <c r="B184" s="34">
        <v>346.0</v>
      </c>
      <c r="C184" s="289"/>
      <c r="D184" s="289" t="str">
        <f>IFERROR(__xludf.DUMMYFUNCTION("if(B184&lt;=999,if(B184&lt;=99,IF(B184&lt;=9,join(,""000"",B184),join(,""00"",B184)),join(,""0"",B184)),B184)"),"0346")</f>
        <v>0346</v>
      </c>
      <c r="E184" s="297" t="s">
        <v>455</v>
      </c>
      <c r="F184" s="289" t="s">
        <v>20</v>
      </c>
      <c r="G184" s="289" t="str">
        <f t="shared" si="44"/>
        <v>#REF!</v>
      </c>
      <c r="H184" s="399" t="s">
        <v>21</v>
      </c>
      <c r="I184" s="289" t="str">
        <f t="shared" si="45"/>
        <v>#REF!</v>
      </c>
      <c r="J184" s="400" t="s">
        <v>22</v>
      </c>
      <c r="K184" s="290" t="s">
        <v>20</v>
      </c>
      <c r="L184" s="329" t="s">
        <v>23</v>
      </c>
      <c r="M184" s="329" t="s">
        <v>1605</v>
      </c>
      <c r="N184" s="401">
        <v>8000.0</v>
      </c>
      <c r="O184" s="329" t="s">
        <v>25</v>
      </c>
      <c r="P184" s="329" t="s">
        <v>1606</v>
      </c>
      <c r="Q184" s="414" t="s">
        <v>1330</v>
      </c>
    </row>
    <row r="185" hidden="1">
      <c r="A185" s="51">
        <v>537.0</v>
      </c>
      <c r="B185" s="51">
        <v>537.0</v>
      </c>
      <c r="C185" s="298">
        <v>92.0</v>
      </c>
      <c r="D185" s="289" t="str">
        <f>IFERROR(__xludf.DUMMYFUNCTION("if(B185&lt;=999,if(B185&lt;=99,IF(B185&lt;=9,join(,""000"",B185),join(,""00"",B185)),join(,""0"",B185)),B185)"),"0537")</f>
        <v>0537</v>
      </c>
      <c r="E185" s="301" t="s">
        <v>456</v>
      </c>
      <c r="F185" s="325" t="s">
        <v>20</v>
      </c>
      <c r="G185" s="289" t="str">
        <f t="shared" si="44"/>
        <v>#REF!</v>
      </c>
      <c r="H185" s="408" t="s">
        <v>21</v>
      </c>
      <c r="I185" s="289" t="str">
        <f t="shared" si="45"/>
        <v>#REF!</v>
      </c>
      <c r="J185" s="400" t="s">
        <v>99</v>
      </c>
      <c r="K185" s="328" t="s">
        <v>20</v>
      </c>
      <c r="L185" s="329" t="s">
        <v>48</v>
      </c>
      <c r="M185" s="329" t="s">
        <v>457</v>
      </c>
      <c r="N185" s="401" t="s">
        <v>458</v>
      </c>
      <c r="O185" s="329" t="s">
        <v>25</v>
      </c>
      <c r="P185" s="329" t="s">
        <v>86</v>
      </c>
      <c r="Q185" s="414" t="s">
        <v>1330</v>
      </c>
    </row>
    <row r="186" hidden="1">
      <c r="A186" s="51">
        <v>1274.0</v>
      </c>
      <c r="B186" s="51">
        <v>1274.0</v>
      </c>
      <c r="C186" s="289">
        <v>93.0</v>
      </c>
      <c r="D186" s="403">
        <f>IFERROR(__xludf.DUMMYFUNCTION("if(B186&lt;=999,if(B186&lt;=99,IF(B186&lt;=9,join(,""000"",B186),join(,""00"",B186)),join(,""0"",B186)),B186)"),1274.0)</f>
        <v>1274</v>
      </c>
      <c r="E186" s="301" t="s">
        <v>459</v>
      </c>
      <c r="F186" s="325" t="s">
        <v>20</v>
      </c>
      <c r="G186" s="289" t="str">
        <f t="shared" si="44"/>
        <v>#REF!</v>
      </c>
      <c r="H186" s="408" t="s">
        <v>21</v>
      </c>
      <c r="I186" s="289" t="str">
        <f t="shared" si="45"/>
        <v>#REF!</v>
      </c>
      <c r="J186" s="400" t="s">
        <v>101</v>
      </c>
      <c r="K186" s="328" t="s">
        <v>20</v>
      </c>
      <c r="L186" s="329" t="s">
        <v>330</v>
      </c>
      <c r="M186" s="329" t="s">
        <v>457</v>
      </c>
      <c r="N186" s="401">
        <v>81.0</v>
      </c>
      <c r="O186" s="329" t="s">
        <v>25</v>
      </c>
      <c r="P186" s="329" t="s">
        <v>86</v>
      </c>
      <c r="Q186" s="414" t="s">
        <v>1330</v>
      </c>
    </row>
    <row r="187" hidden="1">
      <c r="A187" s="33">
        <v>1268.0</v>
      </c>
      <c r="B187" s="34">
        <v>1268.0</v>
      </c>
      <c r="C187" s="289">
        <v>94.0</v>
      </c>
      <c r="D187" s="403">
        <f>IFERROR(__xludf.DUMMYFUNCTION("if(B187&lt;=999,if(B187&lt;=99,IF(B187&lt;=9,join(,""000"",B187),join(,""00"",B187)),join(,""0"",B187)),B187)"),1268.0)</f>
        <v>1268</v>
      </c>
      <c r="E187" s="296" t="s">
        <v>460</v>
      </c>
      <c r="F187" s="289" t="s">
        <v>20</v>
      </c>
      <c r="G187" s="289" t="str">
        <f t="shared" si="44"/>
        <v>#REF!</v>
      </c>
      <c r="H187" s="399" t="s">
        <v>21</v>
      </c>
      <c r="I187" s="289" t="str">
        <f t="shared" si="45"/>
        <v>#REF!</v>
      </c>
      <c r="J187" s="400" t="s">
        <v>99</v>
      </c>
      <c r="K187" s="290" t="s">
        <v>20</v>
      </c>
      <c r="L187" s="329" t="s">
        <v>330</v>
      </c>
      <c r="M187" s="329" t="s">
        <v>1607</v>
      </c>
      <c r="N187" s="401">
        <v>81.0</v>
      </c>
      <c r="O187" s="329" t="s">
        <v>25</v>
      </c>
      <c r="P187" s="329" t="s">
        <v>25</v>
      </c>
      <c r="Q187" s="414" t="s">
        <v>1330</v>
      </c>
    </row>
    <row r="188" hidden="1">
      <c r="A188" s="51">
        <v>808.0</v>
      </c>
      <c r="B188" s="51">
        <v>808.0</v>
      </c>
      <c r="C188" s="289"/>
      <c r="D188" s="289" t="str">
        <f>IFERROR(__xludf.DUMMYFUNCTION("if(B188&lt;=999,if(B188&lt;=99,IF(B188&lt;=9,join(,""000"",B188),join(,""00"",B188)),join(,""0"",B188)),B188)"),"0808")</f>
        <v>0808</v>
      </c>
      <c r="E188" s="326" t="s">
        <v>718</v>
      </c>
      <c r="F188" s="325" t="s">
        <v>20</v>
      </c>
      <c r="G188" s="289" t="str">
        <f t="shared" si="44"/>
        <v>#REF!</v>
      </c>
      <c r="H188" s="408" t="s">
        <v>21</v>
      </c>
      <c r="I188" s="289" t="str">
        <f t="shared" si="45"/>
        <v>#REF!</v>
      </c>
      <c r="J188" s="413" t="s">
        <v>101</v>
      </c>
      <c r="K188" s="328" t="s">
        <v>20</v>
      </c>
      <c r="L188" s="329" t="s">
        <v>137</v>
      </c>
      <c r="M188" s="329" t="s">
        <v>1608</v>
      </c>
      <c r="N188" s="401">
        <v>16.0</v>
      </c>
      <c r="O188" s="329" t="s">
        <v>25</v>
      </c>
      <c r="P188" s="329" t="s">
        <v>25</v>
      </c>
      <c r="Q188" s="414" t="s">
        <v>1330</v>
      </c>
    </row>
    <row r="189">
      <c r="A189" s="51">
        <v>1054.0</v>
      </c>
      <c r="B189" s="51">
        <v>1054.0</v>
      </c>
      <c r="C189" s="260">
        <v>22.0</v>
      </c>
      <c r="D189" s="260">
        <f>IFERROR(__xludf.DUMMYFUNCTION("if(B189&lt;=999,if(B189&lt;=99,IF(B189&lt;=9,join(,""000"",B189),join(,""00"",B189)),join(,""0"",B189)),B189)"),1054.0)</f>
        <v>1054</v>
      </c>
      <c r="E189" s="270" t="s">
        <v>463</v>
      </c>
      <c r="F189" s="260" t="s">
        <v>35</v>
      </c>
      <c r="G189" s="260" t="str">
        <f t="shared" si="44"/>
        <v>#REF!</v>
      </c>
      <c r="H189" s="410" t="s">
        <v>21</v>
      </c>
      <c r="I189" s="260" t="str">
        <f t="shared" si="45"/>
        <v>#REF!</v>
      </c>
      <c r="J189" s="271"/>
      <c r="K189" s="411" t="str">
        <f>vlookup(D189,'Elligible Training Institutes R'!$D$9:$L$19,9,false)</f>
        <v>#N/A</v>
      </c>
      <c r="L189" s="329"/>
      <c r="M189" s="329"/>
      <c r="N189" s="401" t="e">
        <v>#N/A</v>
      </c>
      <c r="O189" s="329"/>
      <c r="P189" s="329"/>
      <c r="Q189" s="412" t="s">
        <v>1423</v>
      </c>
    </row>
    <row r="190">
      <c r="A190" s="51">
        <v>1215.0</v>
      </c>
      <c r="B190" s="51">
        <v>1215.0</v>
      </c>
      <c r="C190" s="260">
        <v>23.0</v>
      </c>
      <c r="D190" s="260">
        <f>IFERROR(__xludf.DUMMYFUNCTION("if(B190&lt;=999,if(B190&lt;=99,IF(B190&lt;=9,join(,""000"",B190),join(,""00"",B190)),join(,""0"",B190)),B190)"),1215.0)</f>
        <v>1215</v>
      </c>
      <c r="E190" s="270" t="s">
        <v>464</v>
      </c>
      <c r="F190" s="260" t="s">
        <v>35</v>
      </c>
      <c r="G190" s="260" t="str">
        <f t="shared" si="44"/>
        <v>#REF!</v>
      </c>
      <c r="H190" s="410" t="s">
        <v>21</v>
      </c>
      <c r="I190" s="260" t="str">
        <f t="shared" si="45"/>
        <v>#REF!</v>
      </c>
      <c r="J190" s="271"/>
      <c r="K190" s="411" t="str">
        <f>vlookup(D190,'Elligible Training Institutes R'!$D$9:$L$19,9,false)</f>
        <v>#N/A</v>
      </c>
      <c r="L190" s="329"/>
      <c r="M190" s="329"/>
      <c r="N190" s="401" t="e">
        <v>#N/A</v>
      </c>
      <c r="O190" s="329"/>
      <c r="P190" s="329"/>
      <c r="Q190" s="412" t="s">
        <v>1423</v>
      </c>
    </row>
    <row r="191">
      <c r="A191" s="51">
        <v>123.0</v>
      </c>
      <c r="B191" s="51">
        <v>123.0</v>
      </c>
      <c r="C191" s="260">
        <v>24.0</v>
      </c>
      <c r="D191" s="260" t="str">
        <f>IFERROR(__xludf.DUMMYFUNCTION("if(B191&lt;=999,if(B191&lt;=99,IF(B191&lt;=9,join(,""000"",B191),join(,""00"",B191)),join(,""0"",B191)),B191)"),"0123")</f>
        <v>0123</v>
      </c>
      <c r="E191" s="270" t="s">
        <v>465</v>
      </c>
      <c r="F191" s="260" t="s">
        <v>35</v>
      </c>
      <c r="G191" s="260" t="str">
        <f t="shared" si="44"/>
        <v>#REF!</v>
      </c>
      <c r="H191" s="410" t="s">
        <v>21</v>
      </c>
      <c r="I191" s="260" t="str">
        <f t="shared" si="45"/>
        <v>#REF!</v>
      </c>
      <c r="J191" s="271"/>
      <c r="K191" s="411" t="str">
        <f>vlookup(D191,'Elligible Training Institutes R'!$D$9:$L$19,9,false)</f>
        <v>#N/A</v>
      </c>
      <c r="L191" s="329"/>
      <c r="M191" s="329"/>
      <c r="N191" s="401" t="e">
        <v>#N/A</v>
      </c>
      <c r="O191" s="329"/>
      <c r="P191" s="329"/>
      <c r="Q191" s="412" t="s">
        <v>1423</v>
      </c>
    </row>
    <row r="192" hidden="1">
      <c r="A192" s="51">
        <v>35.0</v>
      </c>
      <c r="B192" s="51">
        <v>35.0</v>
      </c>
      <c r="C192" s="298">
        <v>157.0</v>
      </c>
      <c r="D192" s="289" t="str">
        <f>IFERROR(__xludf.DUMMYFUNCTION("if(B192&lt;=999,if(B192&lt;=99,IF(B192&lt;=9,join(,""000"",B192),join(,""00"",B192)),join(,""0"",B192)),B192)"),"0035")</f>
        <v>0035</v>
      </c>
      <c r="E192" s="301" t="s">
        <v>730</v>
      </c>
      <c r="F192" s="325" t="s">
        <v>20</v>
      </c>
      <c r="G192" s="289" t="str">
        <f t="shared" si="44"/>
        <v>#REF!</v>
      </c>
      <c r="H192" s="408" t="s">
        <v>21</v>
      </c>
      <c r="I192" s="289" t="str">
        <f t="shared" si="45"/>
        <v>#REF!</v>
      </c>
      <c r="J192" s="413" t="s">
        <v>101</v>
      </c>
      <c r="K192" s="265" t="s">
        <v>20</v>
      </c>
      <c r="L192" s="329" t="s">
        <v>95</v>
      </c>
      <c r="M192" s="329" t="s">
        <v>1609</v>
      </c>
      <c r="N192" s="401">
        <v>20.0</v>
      </c>
      <c r="O192" s="329" t="s">
        <v>25</v>
      </c>
      <c r="P192" s="329" t="s">
        <v>55</v>
      </c>
      <c r="Q192" s="414" t="s">
        <v>1330</v>
      </c>
    </row>
    <row r="193" hidden="1">
      <c r="A193" s="51">
        <v>1409.0</v>
      </c>
      <c r="B193" s="51">
        <v>1409.0</v>
      </c>
      <c r="C193" s="298">
        <v>95.0</v>
      </c>
      <c r="D193" s="403">
        <f>IFERROR(__xludf.DUMMYFUNCTION("if(B193&lt;=999,if(B193&lt;=99,IF(B193&lt;=9,join(,""000"",B193),join(,""00"",B193)),join(,""0"",B193)),B193)"),1409.0)</f>
        <v>1409</v>
      </c>
      <c r="E193" s="301" t="s">
        <v>467</v>
      </c>
      <c r="F193" s="325" t="s">
        <v>20</v>
      </c>
      <c r="G193" s="289" t="str">
        <f t="shared" si="44"/>
        <v>#REF!</v>
      </c>
      <c r="H193" s="408" t="s">
        <v>21</v>
      </c>
      <c r="I193" s="289" t="str">
        <f t="shared" si="45"/>
        <v>#REF!</v>
      </c>
      <c r="J193" s="400" t="s">
        <v>73</v>
      </c>
      <c r="K193" s="328" t="s">
        <v>20</v>
      </c>
      <c r="L193" s="329" t="s">
        <v>95</v>
      </c>
      <c r="M193" s="478" t="s">
        <v>468</v>
      </c>
      <c r="N193" s="401" t="s">
        <v>469</v>
      </c>
      <c r="O193" s="329" t="s">
        <v>470</v>
      </c>
      <c r="P193" s="329" t="s">
        <v>471</v>
      </c>
      <c r="Q193" s="414" t="s">
        <v>1330</v>
      </c>
    </row>
    <row r="194" hidden="1">
      <c r="A194" s="33">
        <v>1275.0</v>
      </c>
      <c r="B194" s="34">
        <v>1275.0</v>
      </c>
      <c r="C194" s="289"/>
      <c r="D194" s="403">
        <f>IFERROR(__xludf.DUMMYFUNCTION("if(B194&lt;=999,if(B194&lt;=99,IF(B194&lt;=9,join(,""000"",B194),join(,""00"",B194)),join(,""0"",B194)),B194)"),1275.0)</f>
        <v>1275</v>
      </c>
      <c r="E194" s="297" t="s">
        <v>473</v>
      </c>
      <c r="F194" s="289" t="s">
        <v>35</v>
      </c>
      <c r="G194" s="289" t="s">
        <v>1610</v>
      </c>
      <c r="H194" s="399">
        <v>9.41535713E9</v>
      </c>
      <c r="I194" s="289">
        <v>9.41535713E9</v>
      </c>
      <c r="J194" s="404"/>
      <c r="K194" s="290" t="s">
        <v>20</v>
      </c>
      <c r="L194" s="401" t="s">
        <v>95</v>
      </c>
      <c r="M194" s="401" t="s">
        <v>1611</v>
      </c>
      <c r="N194" s="401"/>
      <c r="O194" s="401" t="s">
        <v>25</v>
      </c>
      <c r="P194" s="401">
        <v>12345.0</v>
      </c>
      <c r="Q194" s="414" t="s">
        <v>1330</v>
      </c>
    </row>
    <row r="195" hidden="1">
      <c r="A195" s="33">
        <v>1289.0</v>
      </c>
      <c r="B195" s="34">
        <v>1289.0</v>
      </c>
      <c r="C195" s="289"/>
      <c r="D195" s="289">
        <f>IFERROR(__xludf.DUMMYFUNCTION("if(B195&lt;=999,if(B195&lt;=99,IF(B195&lt;=9,join(,""000"",B195),join(,""00"",B195)),join(,""0"",B195)),B195)"),1289.0)</f>
        <v>1289</v>
      </c>
      <c r="E195" s="297" t="s">
        <v>474</v>
      </c>
      <c r="F195" s="289" t="s">
        <v>20</v>
      </c>
      <c r="G195" s="289" t="str">
        <f t="shared" ref="G195:G201" si="46">VLOOKUP(D195,'Copy of Form Responses; CCTV Infra 1'!$G$2:$I$675,2,false)</f>
        <v>#REF!</v>
      </c>
      <c r="H195" s="399" t="s">
        <v>21</v>
      </c>
      <c r="I195" s="289" t="str">
        <f t="shared" ref="I195:I201" si="47">VLOOKUP(D195,'Copy of Form Responses; CCTV Infra 1'!$G$2:$I$675,3,false)</f>
        <v>#REF!</v>
      </c>
      <c r="J195" s="400" t="s">
        <v>22</v>
      </c>
      <c r="K195" s="290" t="s">
        <v>20</v>
      </c>
      <c r="L195" s="401" t="s">
        <v>818</v>
      </c>
      <c r="M195" s="401" t="s">
        <v>1612</v>
      </c>
      <c r="N195" s="401">
        <v>2.0</v>
      </c>
      <c r="O195" s="401" t="s">
        <v>25</v>
      </c>
      <c r="P195" s="401" t="s">
        <v>55</v>
      </c>
      <c r="Q195" s="414" t="s">
        <v>1330</v>
      </c>
    </row>
    <row r="196" hidden="1">
      <c r="A196" s="51">
        <v>1238.0</v>
      </c>
      <c r="B196" s="51">
        <v>1238.0</v>
      </c>
      <c r="C196" s="289"/>
      <c r="D196" s="403">
        <f>IFERROR(__xludf.DUMMYFUNCTION("if(B196&lt;=999,if(B196&lt;=99,IF(B196&lt;=9,join(,""000"",B196),join(,""00"",B196)),join(,""0"",B196)),B196)"),1238.0)</f>
        <v>1238</v>
      </c>
      <c r="E196" s="326" t="s">
        <v>476</v>
      </c>
      <c r="F196" s="325" t="s">
        <v>20</v>
      </c>
      <c r="G196" s="289" t="str">
        <f t="shared" si="46"/>
        <v>#REF!</v>
      </c>
      <c r="H196" s="408" t="s">
        <v>21</v>
      </c>
      <c r="I196" s="289" t="str">
        <f t="shared" si="47"/>
        <v>#REF!</v>
      </c>
      <c r="J196" s="400" t="s">
        <v>101</v>
      </c>
      <c r="K196" s="328" t="s">
        <v>20</v>
      </c>
      <c r="L196" s="414" t="s">
        <v>95</v>
      </c>
      <c r="M196" s="329" t="s">
        <v>1613</v>
      </c>
      <c r="N196" s="401">
        <v>7000.0</v>
      </c>
      <c r="O196" s="329" t="s">
        <v>1614</v>
      </c>
      <c r="P196" s="329" t="s">
        <v>1615</v>
      </c>
      <c r="Q196" s="414" t="s">
        <v>1330</v>
      </c>
    </row>
    <row r="197" hidden="1">
      <c r="A197" s="55">
        <v>1041.0</v>
      </c>
      <c r="B197" s="55">
        <v>1041.0</v>
      </c>
      <c r="C197" s="289">
        <v>96.0</v>
      </c>
      <c r="D197" s="479">
        <f>IFERROR(__xludf.DUMMYFUNCTION("if(B197&lt;=999,if(B197&lt;=99,IF(B197&lt;=9,join(,""000"",B197),join(,""00"",B197)),join(,""0"",B197)),B197)"),1041.0)</f>
        <v>1041</v>
      </c>
      <c r="E197" s="425" t="s">
        <v>477</v>
      </c>
      <c r="F197" s="426" t="s">
        <v>20</v>
      </c>
      <c r="G197" s="298" t="str">
        <f t="shared" si="46"/>
        <v>#REF!</v>
      </c>
      <c r="H197" s="426" t="s">
        <v>21</v>
      </c>
      <c r="I197" s="298" t="str">
        <f t="shared" si="47"/>
        <v>#REF!</v>
      </c>
      <c r="J197" s="405" t="s">
        <v>77</v>
      </c>
      <c r="K197" s="427" t="s">
        <v>20</v>
      </c>
      <c r="L197" s="414" t="s">
        <v>95</v>
      </c>
      <c r="M197" s="414" t="s">
        <v>478</v>
      </c>
      <c r="N197" s="407">
        <v>25001.0</v>
      </c>
      <c r="O197" s="414" t="s">
        <v>25</v>
      </c>
      <c r="P197" s="414" t="s">
        <v>55</v>
      </c>
      <c r="Q197" s="414" t="s">
        <v>1330</v>
      </c>
    </row>
    <row r="198" hidden="1">
      <c r="A198" s="33">
        <v>1442.0</v>
      </c>
      <c r="B198" s="34">
        <v>1442.0</v>
      </c>
      <c r="C198" s="289"/>
      <c r="D198" s="289">
        <f>IFERROR(__xludf.DUMMYFUNCTION("if(B198&lt;=999,if(B198&lt;=99,IF(B198&lt;=9,join(,""000"",B198),join(,""00"",B198)),join(,""0"",B198)),B198)"),1442.0)</f>
        <v>1442</v>
      </c>
      <c r="E198" s="297" t="s">
        <v>479</v>
      </c>
      <c r="F198" s="289" t="s">
        <v>20</v>
      </c>
      <c r="G198" s="289" t="str">
        <f t="shared" si="46"/>
        <v>#REF!</v>
      </c>
      <c r="H198" s="399" t="s">
        <v>21</v>
      </c>
      <c r="I198" s="289" t="str">
        <f t="shared" si="47"/>
        <v>#REF!</v>
      </c>
      <c r="J198" s="400" t="s">
        <v>22</v>
      </c>
      <c r="K198" s="290" t="s">
        <v>20</v>
      </c>
      <c r="L198" s="291" t="s">
        <v>480</v>
      </c>
      <c r="M198" s="291" t="s">
        <v>481</v>
      </c>
      <c r="N198" s="401">
        <v>32.0</v>
      </c>
      <c r="O198" s="401" t="s">
        <v>25</v>
      </c>
      <c r="P198" s="401" t="s">
        <v>86</v>
      </c>
      <c r="Q198" s="414" t="s">
        <v>1330</v>
      </c>
    </row>
    <row r="199" hidden="1">
      <c r="A199" s="51">
        <v>1342.0</v>
      </c>
      <c r="B199" s="51">
        <v>1342.0</v>
      </c>
      <c r="C199" s="289">
        <v>97.0</v>
      </c>
      <c r="D199" s="403">
        <f>IFERROR(__xludf.DUMMYFUNCTION("if(B199&lt;=999,if(B199&lt;=99,IF(B199&lt;=9,join(,""000"",B199),join(,""00"",B199)),join(,""0"",B199)),B199)"),1342.0)</f>
        <v>1342</v>
      </c>
      <c r="E199" s="301" t="s">
        <v>482</v>
      </c>
      <c r="F199" s="325" t="s">
        <v>20</v>
      </c>
      <c r="G199" s="289" t="str">
        <f t="shared" si="46"/>
        <v>#REF!</v>
      </c>
      <c r="H199" s="408" t="s">
        <v>21</v>
      </c>
      <c r="I199" s="289" t="str">
        <f t="shared" si="47"/>
        <v>#REF!</v>
      </c>
      <c r="J199" s="400" t="s">
        <v>63</v>
      </c>
      <c r="K199" s="328" t="s">
        <v>20</v>
      </c>
      <c r="L199" s="329" t="s">
        <v>95</v>
      </c>
      <c r="M199" s="329" t="s">
        <v>483</v>
      </c>
      <c r="N199" s="401" t="s">
        <v>484</v>
      </c>
      <c r="O199" s="329" t="s">
        <v>25</v>
      </c>
      <c r="P199" s="329" t="s">
        <v>485</v>
      </c>
      <c r="Q199" s="414" t="s">
        <v>1330</v>
      </c>
    </row>
    <row r="200" hidden="1">
      <c r="A200" s="51">
        <v>1102.0</v>
      </c>
      <c r="B200" s="51">
        <v>1102.0</v>
      </c>
      <c r="C200" s="298">
        <v>98.0</v>
      </c>
      <c r="D200" s="403">
        <f>IFERROR(__xludf.DUMMYFUNCTION("if(B200&lt;=999,if(B200&lt;=99,IF(B200&lt;=9,join(,""000"",B200),join(,""00"",B200)),join(,""0"",B200)),B200)"),1102.0)</f>
        <v>1102</v>
      </c>
      <c r="E200" s="301" t="s">
        <v>486</v>
      </c>
      <c r="F200" s="325" t="s">
        <v>20</v>
      </c>
      <c r="G200" s="289" t="str">
        <f t="shared" si="46"/>
        <v>#REF!</v>
      </c>
      <c r="H200" s="408" t="s">
        <v>21</v>
      </c>
      <c r="I200" s="289" t="str">
        <f t="shared" si="47"/>
        <v>#REF!</v>
      </c>
      <c r="J200" s="400" t="s">
        <v>22</v>
      </c>
      <c r="K200" s="328" t="s">
        <v>20</v>
      </c>
      <c r="L200" s="329" t="s">
        <v>487</v>
      </c>
      <c r="M200" s="329" t="s">
        <v>488</v>
      </c>
      <c r="N200" s="401">
        <v>80.0</v>
      </c>
      <c r="O200" s="329" t="s">
        <v>25</v>
      </c>
      <c r="P200" s="329">
        <v>9.321002526E9</v>
      </c>
      <c r="Q200" s="414" t="s">
        <v>1330</v>
      </c>
    </row>
    <row r="201" hidden="1">
      <c r="A201" s="51">
        <v>1199.0</v>
      </c>
      <c r="B201" s="51">
        <v>1199.0</v>
      </c>
      <c r="C201" s="289"/>
      <c r="D201" s="403">
        <f>IFERROR(__xludf.DUMMYFUNCTION("if(B201&lt;=999,if(B201&lt;=99,IF(B201&lt;=9,join(,""000"",B201),join(,""00"",B201)),join(,""0"",B201)),B201)"),1199.0)</f>
        <v>1199</v>
      </c>
      <c r="E201" s="326" t="s">
        <v>489</v>
      </c>
      <c r="F201" s="325" t="s">
        <v>20</v>
      </c>
      <c r="G201" s="289" t="str">
        <f t="shared" si="46"/>
        <v>#REF!</v>
      </c>
      <c r="H201" s="408" t="s">
        <v>21</v>
      </c>
      <c r="I201" s="289" t="str">
        <f t="shared" si="47"/>
        <v>#REF!</v>
      </c>
      <c r="J201" s="400" t="s">
        <v>22</v>
      </c>
      <c r="K201" s="328" t="s">
        <v>20</v>
      </c>
      <c r="L201" s="401" t="s">
        <v>95</v>
      </c>
      <c r="M201" s="401" t="s">
        <v>1616</v>
      </c>
      <c r="N201" s="401">
        <v>25.0</v>
      </c>
      <c r="O201" s="329" t="s">
        <v>25</v>
      </c>
      <c r="P201" s="414" t="s">
        <v>86</v>
      </c>
      <c r="Q201" s="414" t="s">
        <v>1330</v>
      </c>
    </row>
    <row r="202" hidden="1">
      <c r="A202" s="51">
        <v>1378.0</v>
      </c>
      <c r="B202" s="51">
        <v>1378.0</v>
      </c>
      <c r="C202" s="289"/>
      <c r="D202" s="403">
        <f>IFERROR(__xludf.DUMMYFUNCTION("if(B202&lt;=999,if(B202&lt;=99,IF(B202&lt;=9,join(,""000"",B202),join(,""00"",B202)),join(,""0"",B202)),B202)"),1378.0)</f>
        <v>1378</v>
      </c>
      <c r="E202" s="326" t="s">
        <v>490</v>
      </c>
      <c r="F202" s="325" t="s">
        <v>35</v>
      </c>
      <c r="G202" s="289" t="s">
        <v>1617</v>
      </c>
      <c r="H202" s="408" t="s">
        <v>21</v>
      </c>
      <c r="I202" s="289">
        <v>9.569045505E9</v>
      </c>
      <c r="J202" s="404"/>
      <c r="K202" s="328" t="s">
        <v>20</v>
      </c>
      <c r="L202" s="329" t="s">
        <v>95</v>
      </c>
      <c r="M202" s="329" t="s">
        <v>1618</v>
      </c>
      <c r="N202" s="401" t="e">
        <v>#N/A</v>
      </c>
      <c r="O202" s="329" t="s">
        <v>25</v>
      </c>
      <c r="P202" s="329" t="s">
        <v>86</v>
      </c>
      <c r="Q202" s="430" t="s">
        <v>1330</v>
      </c>
    </row>
    <row r="203" hidden="1">
      <c r="A203" s="51">
        <v>1283.0</v>
      </c>
      <c r="B203" s="51">
        <v>1283.0</v>
      </c>
      <c r="C203" s="289"/>
      <c r="D203" s="403">
        <f>IFERROR(__xludf.DUMMYFUNCTION("if(B203&lt;=999,if(B203&lt;=99,IF(B203&lt;=9,join(,""000"",B203),join(,""00"",B203)),join(,""0"",B203)),B203)"),1283.0)</f>
        <v>1283</v>
      </c>
      <c r="E203" s="326" t="s">
        <v>491</v>
      </c>
      <c r="F203" s="325" t="s">
        <v>20</v>
      </c>
      <c r="G203" s="289" t="str">
        <f>VLOOKUP(D203,'Copy of Form Responses; CCTV Infra 1'!$G$2:$I$675,2,false)</f>
        <v>#REF!</v>
      </c>
      <c r="H203" s="408" t="s">
        <v>21</v>
      </c>
      <c r="I203" s="289" t="str">
        <f>VLOOKUP(D203,'Copy of Form Responses; CCTV Infra 1'!$G$2:$I$675,3,false)</f>
        <v>#REF!</v>
      </c>
      <c r="J203" s="400" t="s">
        <v>34</v>
      </c>
      <c r="K203" s="328" t="s">
        <v>20</v>
      </c>
      <c r="L203" s="329" t="s">
        <v>559</v>
      </c>
      <c r="M203" s="329" t="s">
        <v>1619</v>
      </c>
      <c r="N203" s="401">
        <v>25001.0</v>
      </c>
      <c r="O203" s="329" t="s">
        <v>25</v>
      </c>
      <c r="P203" s="329" t="s">
        <v>651</v>
      </c>
      <c r="Q203" s="414" t="s">
        <v>1330</v>
      </c>
    </row>
    <row r="204" hidden="1">
      <c r="A204" s="324">
        <v>602.0</v>
      </c>
      <c r="B204" s="324">
        <v>602.0</v>
      </c>
      <c r="C204" s="418"/>
      <c r="D204" s="418" t="str">
        <f>IFERROR(__xludf.DUMMYFUNCTION("if(B204&lt;=999,if(B204&lt;=99,IF(B204&lt;=9,join(,""000"",B204),join(,""00"",B204)),join(,""0"",B204)),B204)"),"0602")</f>
        <v>0602</v>
      </c>
      <c r="E204" s="442" t="s">
        <v>492</v>
      </c>
      <c r="F204" s="418" t="s">
        <v>20</v>
      </c>
      <c r="G204" s="418" t="s">
        <v>1620</v>
      </c>
      <c r="H204" s="419" t="s">
        <v>21</v>
      </c>
      <c r="I204" s="418">
        <v>8.052810528E9</v>
      </c>
      <c r="J204" s="420" t="s">
        <v>1621</v>
      </c>
      <c r="K204" s="421" t="s">
        <v>20</v>
      </c>
      <c r="L204" s="422" t="s">
        <v>559</v>
      </c>
      <c r="M204" s="422" t="s">
        <v>1619</v>
      </c>
      <c r="N204" s="422" t="e">
        <v>#N/A</v>
      </c>
      <c r="O204" s="422" t="s">
        <v>25</v>
      </c>
      <c r="P204" s="422" t="s">
        <v>651</v>
      </c>
      <c r="Q204" s="423" t="s">
        <v>1330</v>
      </c>
    </row>
    <row r="205" hidden="1">
      <c r="A205" s="324">
        <v>1292.0</v>
      </c>
      <c r="B205" s="324">
        <v>1292.0</v>
      </c>
      <c r="C205" s="418"/>
      <c r="D205" s="418">
        <f>IFERROR(__xludf.DUMMYFUNCTION("if(B205&lt;=999,if(B205&lt;=99,IF(B205&lt;=9,join(,""000"",B205),join(,""00"",B205)),join(,""0"",B205)),B205)"),1292.0)</f>
        <v>1292</v>
      </c>
      <c r="E205" s="442" t="s">
        <v>493</v>
      </c>
      <c r="F205" s="418" t="s">
        <v>20</v>
      </c>
      <c r="G205" s="418" t="str">
        <f t="shared" ref="G205:G209" si="48">VLOOKUP(D205,'Copy of Form Responses; CCTV Infra 1'!$G$2:$I$675,2,false)</f>
        <v>#REF!</v>
      </c>
      <c r="H205" s="419" t="s">
        <v>21</v>
      </c>
      <c r="I205" s="418" t="str">
        <f t="shared" ref="I205:I209" si="49">VLOOKUP(D205,'Copy of Form Responses; CCTV Infra 1'!$G$2:$I$675,3,false)</f>
        <v>#REF!</v>
      </c>
      <c r="J205" s="420" t="s">
        <v>1621</v>
      </c>
      <c r="K205" s="421" t="s">
        <v>20</v>
      </c>
      <c r="L205" s="422" t="s">
        <v>559</v>
      </c>
      <c r="M205" s="422" t="s">
        <v>1619</v>
      </c>
      <c r="N205" s="422">
        <v>25001.0</v>
      </c>
      <c r="O205" s="422" t="s">
        <v>25</v>
      </c>
      <c r="P205" s="422" t="s">
        <v>651</v>
      </c>
      <c r="Q205" s="423" t="s">
        <v>1330</v>
      </c>
    </row>
    <row r="206">
      <c r="A206" s="51">
        <v>83.0</v>
      </c>
      <c r="B206" s="51">
        <v>83.0</v>
      </c>
      <c r="C206" s="260">
        <v>25.0</v>
      </c>
      <c r="D206" s="260" t="str">
        <f>IFERROR(__xludf.DUMMYFUNCTION("if(B206&lt;=999,if(B206&lt;=99,IF(B206&lt;=9,join(,""000"",B206),join(,""00"",B206)),join(,""0"",B206)),B206)"),"0083")</f>
        <v>0083</v>
      </c>
      <c r="E206" s="270" t="s">
        <v>852</v>
      </c>
      <c r="F206" s="260" t="s">
        <v>20</v>
      </c>
      <c r="G206" s="260" t="str">
        <f t="shared" si="48"/>
        <v>#REF!</v>
      </c>
      <c r="H206" s="410" t="s">
        <v>21</v>
      </c>
      <c r="I206" s="260" t="str">
        <f t="shared" si="49"/>
        <v>#REF!</v>
      </c>
      <c r="J206" s="264" t="s">
        <v>117</v>
      </c>
      <c r="K206" s="411" t="str">
        <f>vlookup(D206,'Elligible Training Institutes R'!$D$9:$L$19,9,false)</f>
        <v>#N/A</v>
      </c>
      <c r="L206" s="329"/>
      <c r="M206" s="329"/>
      <c r="N206" s="401">
        <v>16.0</v>
      </c>
      <c r="O206" s="329"/>
      <c r="P206" s="329"/>
      <c r="Q206" s="412" t="s">
        <v>43</v>
      </c>
    </row>
    <row r="207" hidden="1">
      <c r="A207" s="33">
        <v>810.0</v>
      </c>
      <c r="B207" s="34">
        <v>810.0</v>
      </c>
      <c r="C207" s="289"/>
      <c r="D207" s="403" t="str">
        <f>IFERROR(__xludf.DUMMYFUNCTION("if(B207&lt;=999,if(B207&lt;=99,IF(B207&lt;=9,join(,""000"",B207),join(,""00"",B207)),join(,""0"",B207)),B207)"),"0810")</f>
        <v>0810</v>
      </c>
      <c r="E207" s="297" t="s">
        <v>497</v>
      </c>
      <c r="F207" s="289" t="s">
        <v>20</v>
      </c>
      <c r="G207" s="289" t="str">
        <f t="shared" si="48"/>
        <v>#REF!</v>
      </c>
      <c r="H207" s="399" t="s">
        <v>21</v>
      </c>
      <c r="I207" s="289" t="str">
        <f t="shared" si="49"/>
        <v>#REF!</v>
      </c>
      <c r="J207" s="400" t="s">
        <v>22</v>
      </c>
      <c r="K207" s="290" t="s">
        <v>20</v>
      </c>
      <c r="L207" s="401" t="s">
        <v>95</v>
      </c>
      <c r="M207" s="401" t="s">
        <v>1622</v>
      </c>
      <c r="N207" s="401"/>
      <c r="O207" s="401" t="s">
        <v>25</v>
      </c>
      <c r="P207" s="401" t="s">
        <v>1623</v>
      </c>
      <c r="Q207" s="414" t="s">
        <v>1330</v>
      </c>
    </row>
    <row r="208" hidden="1">
      <c r="A208" s="51">
        <v>1212.0</v>
      </c>
      <c r="B208" s="51">
        <v>1212.0</v>
      </c>
      <c r="C208" s="289"/>
      <c r="D208" s="403">
        <f>IFERROR(__xludf.DUMMYFUNCTION("if(B208&lt;=999,if(B208&lt;=99,IF(B208&lt;=9,join(,""000"",B208),join(,""00"",B208)),join(,""0"",B208)),B208)"),1212.0)</f>
        <v>1212</v>
      </c>
      <c r="E208" s="326" t="s">
        <v>499</v>
      </c>
      <c r="F208" s="325" t="s">
        <v>20</v>
      </c>
      <c r="G208" s="289" t="str">
        <f t="shared" si="48"/>
        <v>#REF!</v>
      </c>
      <c r="H208" s="408" t="s">
        <v>21</v>
      </c>
      <c r="I208" s="289" t="str">
        <f t="shared" si="49"/>
        <v>#REF!</v>
      </c>
      <c r="J208" s="400" t="s">
        <v>77</v>
      </c>
      <c r="K208" s="328" t="s">
        <v>20</v>
      </c>
      <c r="L208" s="329" t="s">
        <v>95</v>
      </c>
      <c r="M208" s="291" t="s">
        <v>500</v>
      </c>
      <c r="N208" s="401">
        <v>16160.0</v>
      </c>
      <c r="O208" s="439" t="s">
        <v>25</v>
      </c>
      <c r="P208" s="439">
        <v>123456.0</v>
      </c>
      <c r="Q208" s="414" t="s">
        <v>1330</v>
      </c>
    </row>
    <row r="209" hidden="1">
      <c r="A209" s="51">
        <v>1372.0</v>
      </c>
      <c r="B209" s="51">
        <v>1372.0</v>
      </c>
      <c r="C209" s="289"/>
      <c r="D209" s="289">
        <f>IFERROR(__xludf.DUMMYFUNCTION("if(B209&lt;=999,if(B209&lt;=99,IF(B209&lt;=9,join(,""000"",B209),join(,""00"",B209)),join(,""0"",B209)),B209)"),1372.0)</f>
        <v>1372</v>
      </c>
      <c r="E209" s="326" t="s">
        <v>502</v>
      </c>
      <c r="F209" s="325" t="s">
        <v>20</v>
      </c>
      <c r="G209" s="289" t="str">
        <f t="shared" si="48"/>
        <v>#REF!</v>
      </c>
      <c r="H209" s="408" t="s">
        <v>21</v>
      </c>
      <c r="I209" s="289" t="str">
        <f t="shared" si="49"/>
        <v>#REF!</v>
      </c>
      <c r="J209" s="400" t="s">
        <v>73</v>
      </c>
      <c r="K209" s="328" t="s">
        <v>20</v>
      </c>
      <c r="L209" s="329" t="s">
        <v>23</v>
      </c>
      <c r="M209" s="291" t="s">
        <v>503</v>
      </c>
      <c r="N209" s="401" t="s">
        <v>504</v>
      </c>
      <c r="O209" s="447" t="s">
        <v>25</v>
      </c>
      <c r="P209" s="447" t="s">
        <v>1624</v>
      </c>
      <c r="Q209" s="414" t="s">
        <v>1330</v>
      </c>
    </row>
    <row r="210" hidden="1">
      <c r="A210" s="51">
        <v>1412.0</v>
      </c>
      <c r="B210" s="51">
        <v>1412.0</v>
      </c>
      <c r="C210" s="289">
        <v>99.0</v>
      </c>
      <c r="D210" s="403">
        <f>IFERROR(__xludf.DUMMYFUNCTION("if(B210&lt;=999,if(B210&lt;=99,IF(B210&lt;=9,join(,""000"",B210),join(,""00"",B210)),join(,""0"",B210)),B210)"),1412.0)</f>
        <v>1412</v>
      </c>
      <c r="E210" s="301" t="s">
        <v>505</v>
      </c>
      <c r="F210" s="325" t="s">
        <v>20</v>
      </c>
      <c r="G210" s="289" t="s">
        <v>506</v>
      </c>
      <c r="H210" s="408" t="s">
        <v>21</v>
      </c>
      <c r="I210" s="289">
        <v>8.081061208E9</v>
      </c>
      <c r="J210" s="400" t="s">
        <v>73</v>
      </c>
      <c r="K210" s="328" t="s">
        <v>20</v>
      </c>
      <c r="L210" s="329" t="s">
        <v>95</v>
      </c>
      <c r="M210" s="291" t="s">
        <v>507</v>
      </c>
      <c r="N210" s="401" t="e">
        <v>#N/A</v>
      </c>
      <c r="O210" s="329" t="s">
        <v>25</v>
      </c>
      <c r="P210" s="329" t="s">
        <v>163</v>
      </c>
      <c r="Q210" s="414" t="s">
        <v>1330</v>
      </c>
    </row>
    <row r="211" hidden="1">
      <c r="A211" s="51">
        <v>521.0</v>
      </c>
      <c r="B211" s="51">
        <v>521.0</v>
      </c>
      <c r="C211" s="289"/>
      <c r="D211" s="403" t="str">
        <f>IFERROR(__xludf.DUMMYFUNCTION("if(B211&lt;=999,if(B211&lt;=99,IF(B211&lt;=9,join(,""000"",B211),join(,""00"",B211)),join(,""0"",B211)),B211)"),"0521")</f>
        <v>0521</v>
      </c>
      <c r="E211" s="326" t="s">
        <v>508</v>
      </c>
      <c r="F211" s="325" t="s">
        <v>20</v>
      </c>
      <c r="G211" s="289" t="str">
        <f t="shared" ref="G211:G219" si="50">VLOOKUP(D211,'Copy of Form Responses; CCTV Infra 1'!$G$2:$I$675,2,false)</f>
        <v>#REF!</v>
      </c>
      <c r="H211" s="408" t="s">
        <v>21</v>
      </c>
      <c r="I211" s="289">
        <v>6.306788067E9</v>
      </c>
      <c r="J211" s="400" t="s">
        <v>22</v>
      </c>
      <c r="K211" s="328" t="s">
        <v>20</v>
      </c>
      <c r="L211" s="329" t="s">
        <v>95</v>
      </c>
      <c r="M211" s="329" t="s">
        <v>1625</v>
      </c>
      <c r="N211" s="401">
        <v>16.0</v>
      </c>
      <c r="O211" s="329" t="s">
        <v>25</v>
      </c>
      <c r="P211" s="329" t="s">
        <v>1626</v>
      </c>
      <c r="Q211" s="414" t="s">
        <v>1330</v>
      </c>
    </row>
    <row r="212" hidden="1">
      <c r="A212" s="51">
        <v>1112.0</v>
      </c>
      <c r="B212" s="51">
        <v>1112.0</v>
      </c>
      <c r="C212" s="289"/>
      <c r="D212" s="289">
        <f>IFERROR(__xludf.DUMMYFUNCTION("if(B212&lt;=999,if(B212&lt;=99,IF(B212&lt;=9,join(,""000"",B212),join(,""00"",B212)),join(,""0"",B212)),B212)"),1112.0)</f>
        <v>1112</v>
      </c>
      <c r="E212" s="326" t="s">
        <v>510</v>
      </c>
      <c r="F212" s="325" t="s">
        <v>20</v>
      </c>
      <c r="G212" s="289" t="str">
        <f t="shared" si="50"/>
        <v>#REF!</v>
      </c>
      <c r="H212" s="408" t="s">
        <v>21</v>
      </c>
      <c r="I212" s="289" t="str">
        <f t="shared" ref="I212:I219" si="51">VLOOKUP(D212,'Copy of Form Responses; CCTV Infra 1'!$G$2:$I$675,3,false)</f>
        <v>#REF!</v>
      </c>
      <c r="J212" s="400" t="s">
        <v>60</v>
      </c>
      <c r="K212" s="328" t="s">
        <v>20</v>
      </c>
      <c r="L212" s="329" t="s">
        <v>511</v>
      </c>
      <c r="M212" s="291" t="s">
        <v>1627</v>
      </c>
      <c r="N212" s="401">
        <v>80.0</v>
      </c>
      <c r="O212" s="447" t="s">
        <v>25</v>
      </c>
      <c r="P212" s="439">
        <v>888888.0</v>
      </c>
      <c r="Q212" s="414" t="s">
        <v>1330</v>
      </c>
    </row>
    <row r="213" hidden="1">
      <c r="A213" s="51">
        <v>1206.0</v>
      </c>
      <c r="B213" s="51">
        <v>1206.0</v>
      </c>
      <c r="C213" s="289">
        <v>100.0</v>
      </c>
      <c r="D213" s="289">
        <f>IFERROR(__xludf.DUMMYFUNCTION("if(B213&lt;=999,if(B213&lt;=99,IF(B213&lt;=9,join(,""000"",B213),join(,""00"",B213)),join(,""0"",B213)),B213)"),1206.0)</f>
        <v>1206</v>
      </c>
      <c r="E213" s="301" t="s">
        <v>514</v>
      </c>
      <c r="F213" s="325" t="s">
        <v>20</v>
      </c>
      <c r="G213" s="289" t="str">
        <f t="shared" si="50"/>
        <v>#REF!</v>
      </c>
      <c r="H213" s="408" t="s">
        <v>21</v>
      </c>
      <c r="I213" s="289" t="str">
        <f t="shared" si="51"/>
        <v>#REF!</v>
      </c>
      <c r="J213" s="400" t="s">
        <v>99</v>
      </c>
      <c r="K213" s="328" t="s">
        <v>20</v>
      </c>
      <c r="L213" s="329" t="s">
        <v>23</v>
      </c>
      <c r="M213" s="329" t="s">
        <v>515</v>
      </c>
      <c r="N213" s="401" t="e">
        <v>#N/A</v>
      </c>
      <c r="O213" s="329" t="s">
        <v>25</v>
      </c>
      <c r="P213" s="329" t="s">
        <v>222</v>
      </c>
      <c r="Q213" s="414" t="s">
        <v>1330</v>
      </c>
    </row>
    <row r="214" hidden="1">
      <c r="A214" s="33">
        <v>1397.0</v>
      </c>
      <c r="B214" s="34">
        <v>1397.0</v>
      </c>
      <c r="C214" s="298">
        <v>101.0</v>
      </c>
      <c r="D214" s="289">
        <f>IFERROR(__xludf.DUMMYFUNCTION("if(B214&lt;=999,if(B214&lt;=99,IF(B214&lt;=9,join(,""000"",B214),join(,""00"",B214)),join(,""0"",B214)),B214)"),1397.0)</f>
        <v>1397</v>
      </c>
      <c r="E214" s="296" t="s">
        <v>516</v>
      </c>
      <c r="F214" s="289" t="s">
        <v>20</v>
      </c>
      <c r="G214" s="289" t="str">
        <f t="shared" si="50"/>
        <v>#REF!</v>
      </c>
      <c r="H214" s="399" t="s">
        <v>21</v>
      </c>
      <c r="I214" s="289" t="str">
        <f t="shared" si="51"/>
        <v>#REF!</v>
      </c>
      <c r="J214" s="400" t="s">
        <v>73</v>
      </c>
      <c r="K214" s="290" t="s">
        <v>20</v>
      </c>
      <c r="L214" s="401" t="s">
        <v>95</v>
      </c>
      <c r="M214" s="480" t="s">
        <v>517</v>
      </c>
      <c r="N214" s="401" t="s">
        <v>244</v>
      </c>
      <c r="O214" s="401" t="s">
        <v>518</v>
      </c>
      <c r="P214" s="401" t="s">
        <v>519</v>
      </c>
      <c r="Q214" s="414" t="s">
        <v>1330</v>
      </c>
    </row>
    <row r="215" hidden="1">
      <c r="A215" s="33">
        <v>806.0</v>
      </c>
      <c r="B215" s="34">
        <v>806.0</v>
      </c>
      <c r="C215" s="289"/>
      <c r="D215" s="289" t="str">
        <f>IFERROR(__xludf.DUMMYFUNCTION("if(B215&lt;=999,if(B215&lt;=99,IF(B215&lt;=9,join(,""000"",B215),join(,""00"",B215)),join(,""0"",B215)),B215)"),"0806")</f>
        <v>0806</v>
      </c>
      <c r="E215" s="297" t="s">
        <v>520</v>
      </c>
      <c r="F215" s="289" t="s">
        <v>20</v>
      </c>
      <c r="G215" s="289" t="str">
        <f t="shared" si="50"/>
        <v>#REF!</v>
      </c>
      <c r="H215" s="399" t="s">
        <v>21</v>
      </c>
      <c r="I215" s="289" t="str">
        <f t="shared" si="51"/>
        <v>#REF!</v>
      </c>
      <c r="J215" s="400" t="s">
        <v>73</v>
      </c>
      <c r="K215" s="290" t="s">
        <v>20</v>
      </c>
      <c r="L215" s="401" t="s">
        <v>511</v>
      </c>
      <c r="M215" s="401" t="s">
        <v>1628</v>
      </c>
      <c r="N215" s="401" t="s">
        <v>522</v>
      </c>
      <c r="O215" s="291" t="s">
        <v>25</v>
      </c>
      <c r="P215" s="401" t="s">
        <v>523</v>
      </c>
      <c r="Q215" s="414" t="s">
        <v>1330</v>
      </c>
    </row>
    <row r="216" hidden="1">
      <c r="A216" s="51">
        <v>1037.0</v>
      </c>
      <c r="B216" s="51">
        <v>1037.0</v>
      </c>
      <c r="C216" s="289"/>
      <c r="D216" s="289">
        <f>IFERROR(__xludf.DUMMYFUNCTION("if(B216&lt;=999,if(B216&lt;=99,IF(B216&lt;=9,join(,""000"",B216),join(,""00"",B216)),join(,""0"",B216)),B216)"),1037.0)</f>
        <v>1037</v>
      </c>
      <c r="E216" s="326" t="s">
        <v>525</v>
      </c>
      <c r="F216" s="325" t="s">
        <v>20</v>
      </c>
      <c r="G216" s="289" t="str">
        <f t="shared" si="50"/>
        <v>#REF!</v>
      </c>
      <c r="H216" s="408" t="s">
        <v>21</v>
      </c>
      <c r="I216" s="289" t="str">
        <f t="shared" si="51"/>
        <v>#REF!</v>
      </c>
      <c r="J216" s="400" t="s">
        <v>77</v>
      </c>
      <c r="K216" s="328" t="s">
        <v>20</v>
      </c>
      <c r="L216" s="329" t="s">
        <v>95</v>
      </c>
      <c r="M216" s="329" t="s">
        <v>1629</v>
      </c>
      <c r="N216" s="401"/>
      <c r="O216" s="329" t="s">
        <v>25</v>
      </c>
      <c r="P216" s="329" t="s">
        <v>1630</v>
      </c>
      <c r="Q216" s="414" t="s">
        <v>1330</v>
      </c>
    </row>
    <row r="217" hidden="1">
      <c r="A217" s="45">
        <v>532.0</v>
      </c>
      <c r="B217" s="45">
        <v>532.0</v>
      </c>
      <c r="C217" s="289">
        <v>102.0</v>
      </c>
      <c r="D217" s="298" t="str">
        <f>IFERROR(__xludf.DUMMYFUNCTION("if(B217&lt;=999,if(B217&lt;=99,IF(B217&lt;=9,join(,""000"",B217),join(,""00"",B217)),join(,""0"",B217)),B217)"),"0532")</f>
        <v>0532</v>
      </c>
      <c r="E217" s="299" t="s">
        <v>526</v>
      </c>
      <c r="F217" s="298" t="s">
        <v>20</v>
      </c>
      <c r="G217" s="298" t="str">
        <f t="shared" si="50"/>
        <v>#REF!</v>
      </c>
      <c r="H217" s="298" t="s">
        <v>21</v>
      </c>
      <c r="I217" s="298" t="str">
        <f t="shared" si="51"/>
        <v>#REF!</v>
      </c>
      <c r="J217" s="405" t="s">
        <v>63</v>
      </c>
      <c r="K217" s="406" t="s">
        <v>20</v>
      </c>
      <c r="L217" s="414" t="s">
        <v>23</v>
      </c>
      <c r="M217" s="414" t="s">
        <v>527</v>
      </c>
      <c r="N217" s="407" t="e">
        <v>#N/A</v>
      </c>
      <c r="O217" s="439" t="s">
        <v>25</v>
      </c>
      <c r="P217" s="439" t="s">
        <v>528</v>
      </c>
      <c r="Q217" s="414" t="s">
        <v>1330</v>
      </c>
    </row>
    <row r="218" hidden="1">
      <c r="A218" s="51">
        <v>32.0</v>
      </c>
      <c r="B218" s="51">
        <v>32.0</v>
      </c>
      <c r="C218" s="289">
        <v>103.0</v>
      </c>
      <c r="D218" s="289" t="str">
        <f>IFERROR(__xludf.DUMMYFUNCTION("if(B218&lt;=999,if(B218&lt;=99,IF(B218&lt;=9,join(,""000"",B218),join(,""00"",B218)),join(,""0"",B218)),B218)"),"0032")</f>
        <v>0032</v>
      </c>
      <c r="E218" s="301" t="s">
        <v>530</v>
      </c>
      <c r="F218" s="325" t="s">
        <v>20</v>
      </c>
      <c r="G218" s="289" t="str">
        <f t="shared" si="50"/>
        <v>#REF!</v>
      </c>
      <c r="H218" s="408" t="s">
        <v>21</v>
      </c>
      <c r="I218" s="289" t="str">
        <f t="shared" si="51"/>
        <v>#REF!</v>
      </c>
      <c r="J218" s="400" t="s">
        <v>22</v>
      </c>
      <c r="K218" s="328" t="s">
        <v>20</v>
      </c>
      <c r="L218" s="291" t="s">
        <v>531</v>
      </c>
      <c r="M218" s="291" t="s">
        <v>1631</v>
      </c>
      <c r="N218" s="401"/>
      <c r="O218" s="329" t="s">
        <v>25</v>
      </c>
      <c r="P218" s="329" t="s">
        <v>1632</v>
      </c>
      <c r="Q218" s="414" t="s">
        <v>1330</v>
      </c>
    </row>
    <row r="219" hidden="1">
      <c r="A219" s="324">
        <v>177.0</v>
      </c>
      <c r="B219" s="324">
        <v>177.0</v>
      </c>
      <c r="C219" s="416">
        <v>104.0</v>
      </c>
      <c r="D219" s="418" t="str">
        <f>IFERROR(__xludf.DUMMYFUNCTION("if(B219&lt;=999,if(B219&lt;=99,IF(B219&lt;=9,join(,""000"",B219),join(,""00"",B219)),join(,""0"",B219)),B219)"),"0177")</f>
        <v>0177</v>
      </c>
      <c r="E219" s="417" t="s">
        <v>535</v>
      </c>
      <c r="F219" s="418" t="s">
        <v>20</v>
      </c>
      <c r="G219" s="418" t="str">
        <f t="shared" si="50"/>
        <v>#REF!</v>
      </c>
      <c r="H219" s="419" t="s">
        <v>21</v>
      </c>
      <c r="I219" s="418" t="str">
        <f t="shared" si="51"/>
        <v>#REF!</v>
      </c>
      <c r="J219" s="420" t="s">
        <v>63</v>
      </c>
      <c r="K219" s="421" t="s">
        <v>20</v>
      </c>
      <c r="L219" s="422" t="s">
        <v>95</v>
      </c>
      <c r="M219" s="422" t="s">
        <v>536</v>
      </c>
      <c r="N219" s="422" t="s">
        <v>537</v>
      </c>
      <c r="O219" s="422" t="s">
        <v>25</v>
      </c>
      <c r="P219" s="422" t="s">
        <v>55</v>
      </c>
      <c r="Q219" s="423" t="s">
        <v>1330</v>
      </c>
    </row>
    <row r="220" hidden="1">
      <c r="A220" s="33">
        <v>1248.0</v>
      </c>
      <c r="B220" s="34">
        <v>1248.0</v>
      </c>
      <c r="C220" s="289"/>
      <c r="D220" s="289">
        <f>IFERROR(__xludf.DUMMYFUNCTION("if(B220&lt;=999,if(B220&lt;=99,IF(B220&lt;=9,join(,""000"",B220),join(,""00"",B220)),join(,""0"",B220)),B220)"),1248.0)</f>
        <v>1248</v>
      </c>
      <c r="E220" s="297" t="s">
        <v>538</v>
      </c>
      <c r="F220" s="289" t="s">
        <v>20</v>
      </c>
      <c r="G220" s="289" t="s">
        <v>1633</v>
      </c>
      <c r="H220" s="399" t="s">
        <v>21</v>
      </c>
      <c r="I220" s="289" t="s">
        <v>1634</v>
      </c>
      <c r="J220" s="400" t="s">
        <v>101</v>
      </c>
      <c r="K220" s="290" t="s">
        <v>20</v>
      </c>
      <c r="L220" s="329" t="s">
        <v>95</v>
      </c>
      <c r="M220" s="329" t="s">
        <v>1635</v>
      </c>
      <c r="N220" s="401"/>
      <c r="O220" s="329" t="s">
        <v>518</v>
      </c>
      <c r="P220" s="329" t="s">
        <v>1636</v>
      </c>
      <c r="Q220" s="414" t="s">
        <v>1330</v>
      </c>
    </row>
    <row r="221" hidden="1">
      <c r="A221" s="324">
        <v>1458.0</v>
      </c>
      <c r="B221" s="324">
        <v>1458.0</v>
      </c>
      <c r="C221" s="418"/>
      <c r="D221" s="418">
        <f>IFERROR(__xludf.DUMMYFUNCTION("if(B221&lt;=999,if(B221&lt;=99,IF(B221&lt;=9,join(,""000"",B221),join(,""00"",B221)),join(,""0"",B221)),B221)"),1458.0)</f>
        <v>1458</v>
      </c>
      <c r="E221" s="442" t="s">
        <v>539</v>
      </c>
      <c r="F221" s="418" t="s">
        <v>20</v>
      </c>
      <c r="G221" s="418" t="s">
        <v>1633</v>
      </c>
      <c r="H221" s="419" t="s">
        <v>21</v>
      </c>
      <c r="I221" s="418" t="s">
        <v>1634</v>
      </c>
      <c r="J221" s="420" t="s">
        <v>101</v>
      </c>
      <c r="K221" s="421" t="s">
        <v>20</v>
      </c>
      <c r="L221" s="422" t="s">
        <v>95</v>
      </c>
      <c r="M221" s="422" t="s">
        <v>1635</v>
      </c>
      <c r="N221" s="422"/>
      <c r="O221" s="422" t="s">
        <v>518</v>
      </c>
      <c r="P221" s="422" t="s">
        <v>1636</v>
      </c>
      <c r="Q221" s="423" t="s">
        <v>1330</v>
      </c>
    </row>
    <row r="222" hidden="1">
      <c r="A222" s="51">
        <v>1396.0</v>
      </c>
      <c r="B222" s="51">
        <v>1396.0</v>
      </c>
      <c r="C222" s="289">
        <v>105.0</v>
      </c>
      <c r="D222" s="289">
        <f>IFERROR(__xludf.DUMMYFUNCTION("if(B222&lt;=999,if(B222&lt;=99,IF(B222&lt;=9,join(,""000"",B222),join(,""00"",B222)),join(,""0"",B222)),B222)"),1396.0)</f>
        <v>1396</v>
      </c>
      <c r="E222" s="301" t="s">
        <v>540</v>
      </c>
      <c r="F222" s="325" t="s">
        <v>20</v>
      </c>
      <c r="G222" s="289" t="str">
        <f t="shared" ref="G222:G229" si="52">VLOOKUP(D222,'Copy of Form Responses; CCTV Infra 1'!$G$2:$I$675,2,false)</f>
        <v>#REF!</v>
      </c>
      <c r="H222" s="408" t="s">
        <v>21</v>
      </c>
      <c r="I222" s="289" t="str">
        <f t="shared" ref="I222:I229" si="53">VLOOKUP(D222,'Copy of Form Responses; CCTV Infra 1'!$G$2:$I$675,3,false)</f>
        <v>#REF!</v>
      </c>
      <c r="J222" s="400" t="s">
        <v>22</v>
      </c>
      <c r="K222" s="328" t="s">
        <v>20</v>
      </c>
      <c r="L222" s="329" t="s">
        <v>95</v>
      </c>
      <c r="M222" s="329" t="s">
        <v>541</v>
      </c>
      <c r="N222" s="401">
        <v>37777.0</v>
      </c>
      <c r="O222" s="329" t="s">
        <v>25</v>
      </c>
      <c r="P222" s="329" t="s">
        <v>86</v>
      </c>
      <c r="Q222" s="414" t="s">
        <v>1330</v>
      </c>
    </row>
    <row r="223" hidden="1">
      <c r="A223" s="51">
        <v>1056.0</v>
      </c>
      <c r="B223" s="51">
        <v>1056.0</v>
      </c>
      <c r="C223" s="289"/>
      <c r="D223" s="289">
        <f>IFERROR(__xludf.DUMMYFUNCTION("if(B223&lt;=999,if(B223&lt;=99,IF(B223&lt;=9,join(,""000"",B223),join(,""00"",B223)),join(,""0"",B223)),B223)"),1056.0)</f>
        <v>1056</v>
      </c>
      <c r="E223" s="326" t="s">
        <v>543</v>
      </c>
      <c r="F223" s="325" t="s">
        <v>20</v>
      </c>
      <c r="G223" s="289" t="str">
        <f t="shared" si="52"/>
        <v>#REF!</v>
      </c>
      <c r="H223" s="408" t="s">
        <v>21</v>
      </c>
      <c r="I223" s="289" t="str">
        <f t="shared" si="53"/>
        <v>#REF!</v>
      </c>
      <c r="J223" s="400" t="s">
        <v>22</v>
      </c>
      <c r="K223" s="328" t="s">
        <v>20</v>
      </c>
      <c r="L223" s="329" t="s">
        <v>95</v>
      </c>
      <c r="M223" s="291" t="s">
        <v>1637</v>
      </c>
      <c r="N223" s="401">
        <v>80.0</v>
      </c>
      <c r="O223" s="329" t="s">
        <v>25</v>
      </c>
      <c r="P223" s="329" t="s">
        <v>1063</v>
      </c>
      <c r="Q223" s="414" t="s">
        <v>1330</v>
      </c>
    </row>
    <row r="224">
      <c r="A224" s="51">
        <v>1322.0</v>
      </c>
      <c r="B224" s="51">
        <v>1322.0</v>
      </c>
      <c r="C224" s="260">
        <v>26.0</v>
      </c>
      <c r="D224" s="260">
        <f>IFERROR(__xludf.DUMMYFUNCTION("if(B224&lt;=999,if(B224&lt;=99,IF(B224&lt;=9,join(,""000"",B224),join(,""00"",B224)),join(,""0"",B224)),B224)"),1322.0)</f>
        <v>1322</v>
      </c>
      <c r="E224" s="270" t="s">
        <v>544</v>
      </c>
      <c r="F224" s="260" t="s">
        <v>35</v>
      </c>
      <c r="G224" s="260" t="str">
        <f t="shared" si="52"/>
        <v>#REF!</v>
      </c>
      <c r="H224" s="410" t="s">
        <v>21</v>
      </c>
      <c r="I224" s="260" t="str">
        <f t="shared" si="53"/>
        <v>#REF!</v>
      </c>
      <c r="J224" s="264"/>
      <c r="K224" s="411" t="str">
        <f>vlookup(D224,'Elligible Training Institutes R'!$D$9:$L$19,9,false)</f>
        <v>#N/A</v>
      </c>
      <c r="L224" s="329"/>
      <c r="M224" s="329"/>
      <c r="N224" s="401" t="e">
        <v>#N/A</v>
      </c>
      <c r="O224" s="329"/>
      <c r="P224" s="329"/>
      <c r="Q224" s="412" t="s">
        <v>1423</v>
      </c>
    </row>
    <row r="225">
      <c r="A225" s="51">
        <v>465.0</v>
      </c>
      <c r="B225" s="51">
        <v>465.0</v>
      </c>
      <c r="C225" s="260">
        <v>27.0</v>
      </c>
      <c r="D225" s="260" t="str">
        <f>IFERROR(__xludf.DUMMYFUNCTION("if(B225&lt;=999,if(B225&lt;=99,IF(B225&lt;=9,join(,""000"",B225),join(,""00"",B225)),join(,""0"",B225)),B225)"),"0465")</f>
        <v>0465</v>
      </c>
      <c r="E225" s="270" t="s">
        <v>545</v>
      </c>
      <c r="F225" s="260" t="s">
        <v>35</v>
      </c>
      <c r="G225" s="260" t="str">
        <f t="shared" si="52"/>
        <v>#REF!</v>
      </c>
      <c r="H225" s="410" t="s">
        <v>21</v>
      </c>
      <c r="I225" s="260" t="str">
        <f t="shared" si="53"/>
        <v>#REF!</v>
      </c>
      <c r="J225" s="264"/>
      <c r="K225" s="411" t="str">
        <f>vlookup(D225,'Elligible Training Institutes R'!$D$9:$L$19,9,false)</f>
        <v>#N/A</v>
      </c>
      <c r="L225" s="329"/>
      <c r="M225" s="329"/>
      <c r="N225" s="401" t="e">
        <v>#N/A</v>
      </c>
      <c r="O225" s="329"/>
      <c r="P225" s="329"/>
      <c r="Q225" s="412" t="s">
        <v>1423</v>
      </c>
    </row>
    <row r="226" hidden="1">
      <c r="A226" s="51">
        <v>748.0</v>
      </c>
      <c r="B226" s="51">
        <v>748.0</v>
      </c>
      <c r="C226" s="289">
        <v>106.0</v>
      </c>
      <c r="D226" s="289" t="str">
        <f>IFERROR(__xludf.DUMMYFUNCTION("if(B226&lt;=999,if(B226&lt;=99,IF(B226&lt;=9,join(,""000"",B226),join(,""00"",B226)),join(,""0"",B226)),B226)"),"0748")</f>
        <v>0748</v>
      </c>
      <c r="E226" s="301" t="s">
        <v>546</v>
      </c>
      <c r="F226" s="325" t="s">
        <v>20</v>
      </c>
      <c r="G226" s="289" t="str">
        <f t="shared" si="52"/>
        <v>#REF!</v>
      </c>
      <c r="H226" s="408" t="s">
        <v>21</v>
      </c>
      <c r="I226" s="289" t="str">
        <f t="shared" si="53"/>
        <v>#REF!</v>
      </c>
      <c r="J226" s="400" t="s">
        <v>73</v>
      </c>
      <c r="K226" s="328" t="s">
        <v>20</v>
      </c>
      <c r="L226" s="329" t="s">
        <v>95</v>
      </c>
      <c r="M226" s="329" t="s">
        <v>547</v>
      </c>
      <c r="N226" s="401">
        <v>25001.0</v>
      </c>
      <c r="O226" s="329" t="s">
        <v>25</v>
      </c>
      <c r="P226" s="329" t="s">
        <v>86</v>
      </c>
      <c r="Q226" s="414" t="s">
        <v>1330</v>
      </c>
    </row>
    <row r="227" hidden="1">
      <c r="A227" s="324">
        <v>117.0</v>
      </c>
      <c r="B227" s="415">
        <v>117.0</v>
      </c>
      <c r="C227" s="416">
        <v>107.0</v>
      </c>
      <c r="D227" s="418" t="str">
        <f>IFERROR(__xludf.DUMMYFUNCTION("if(B227&lt;=999,if(B227&lt;=99,IF(B227&lt;=9,join(,""000"",B227),join(,""00"",B227)),join(,""0"",B227)),B227)"),"0117")</f>
        <v>0117</v>
      </c>
      <c r="E227" s="417" t="s">
        <v>548</v>
      </c>
      <c r="F227" s="418" t="s">
        <v>20</v>
      </c>
      <c r="G227" s="418" t="str">
        <f t="shared" si="52"/>
        <v>#REF!</v>
      </c>
      <c r="H227" s="419" t="s">
        <v>21</v>
      </c>
      <c r="I227" s="418" t="str">
        <f t="shared" si="53"/>
        <v>#REF!</v>
      </c>
      <c r="J227" s="420" t="s">
        <v>101</v>
      </c>
      <c r="K227" s="421" t="s">
        <v>20</v>
      </c>
      <c r="L227" s="422" t="s">
        <v>95</v>
      </c>
      <c r="M227" s="443" t="s">
        <v>549</v>
      </c>
      <c r="N227" s="422" t="s">
        <v>550</v>
      </c>
      <c r="O227" s="444" t="s">
        <v>25</v>
      </c>
      <c r="P227" s="444" t="s">
        <v>86</v>
      </c>
      <c r="Q227" s="423" t="s">
        <v>1330</v>
      </c>
    </row>
    <row r="228" hidden="1">
      <c r="A228" s="51">
        <v>1055.0</v>
      </c>
      <c r="B228" s="51">
        <v>1055.0</v>
      </c>
      <c r="C228" s="289">
        <v>108.0</v>
      </c>
      <c r="D228" s="403">
        <f>IFERROR(__xludf.DUMMYFUNCTION("if(B228&lt;=999,if(B228&lt;=99,IF(B228&lt;=9,join(,""000"",B228),join(,""00"",B228)),join(,""0"",B228)),B228)"),1055.0)</f>
        <v>1055</v>
      </c>
      <c r="E228" s="301" t="s">
        <v>551</v>
      </c>
      <c r="F228" s="325" t="s">
        <v>20</v>
      </c>
      <c r="G228" s="289" t="str">
        <f t="shared" si="52"/>
        <v>#REF!</v>
      </c>
      <c r="H228" s="408" t="s">
        <v>21</v>
      </c>
      <c r="I228" s="289" t="str">
        <f t="shared" si="53"/>
        <v>#REF!</v>
      </c>
      <c r="J228" s="413" t="s">
        <v>99</v>
      </c>
      <c r="K228" s="328" t="s">
        <v>20</v>
      </c>
      <c r="L228" s="329" t="s">
        <v>95</v>
      </c>
      <c r="M228" s="291" t="s">
        <v>549</v>
      </c>
      <c r="N228" s="401" t="s">
        <v>550</v>
      </c>
      <c r="O228" s="439" t="s">
        <v>25</v>
      </c>
      <c r="P228" s="439" t="s">
        <v>86</v>
      </c>
      <c r="Q228" s="414" t="s">
        <v>1330</v>
      </c>
    </row>
    <row r="229">
      <c r="A229" s="51">
        <v>1366.0</v>
      </c>
      <c r="B229" s="51">
        <v>1366.0</v>
      </c>
      <c r="C229" s="260">
        <v>28.0</v>
      </c>
      <c r="D229" s="260">
        <f>IFERROR(__xludf.DUMMYFUNCTION("if(B229&lt;=999,if(B229&lt;=99,IF(B229&lt;=9,join(,""000"",B229),join(,""00"",B229)),join(,""0"",B229)),B229)"),1366.0)</f>
        <v>1366</v>
      </c>
      <c r="E229" s="270" t="s">
        <v>1078</v>
      </c>
      <c r="F229" s="260" t="s">
        <v>20</v>
      </c>
      <c r="G229" s="260" t="str">
        <f t="shared" si="52"/>
        <v>#REF!</v>
      </c>
      <c r="H229" s="410" t="s">
        <v>21</v>
      </c>
      <c r="I229" s="260" t="str">
        <f t="shared" si="53"/>
        <v>#REF!</v>
      </c>
      <c r="J229" s="264" t="s">
        <v>77</v>
      </c>
      <c r="K229" s="411" t="str">
        <f>vlookup(D229,'Elligible Training Institutes R'!$D$9:$L$19,9,false)</f>
        <v>#N/A</v>
      </c>
      <c r="L229" s="329"/>
      <c r="M229" s="329"/>
      <c r="N229" s="401" t="s">
        <v>550</v>
      </c>
      <c r="O229" s="329"/>
      <c r="P229" s="329"/>
      <c r="Q229" s="412" t="s">
        <v>43</v>
      </c>
    </row>
    <row r="230" hidden="1">
      <c r="A230" s="51">
        <v>1149.0</v>
      </c>
      <c r="B230" s="51">
        <v>1149.0</v>
      </c>
      <c r="C230" s="289"/>
      <c r="D230" s="289">
        <f>IFERROR(__xludf.DUMMYFUNCTION("if(B230&lt;=999,if(B230&lt;=99,IF(B230&lt;=9,join(,""000"",B230),join(,""00"",B230)),join(,""0"",B230)),B230)"),1149.0)</f>
        <v>1149</v>
      </c>
      <c r="E230" s="326" t="s">
        <v>554</v>
      </c>
      <c r="F230" s="325" t="s">
        <v>35</v>
      </c>
      <c r="G230" s="289" t="s">
        <v>1638</v>
      </c>
      <c r="H230" s="408" t="s">
        <v>21</v>
      </c>
      <c r="I230" s="289">
        <v>9.897695365E9</v>
      </c>
      <c r="J230" s="413"/>
      <c r="K230" s="328" t="s">
        <v>20</v>
      </c>
      <c r="L230" s="329" t="s">
        <v>706</v>
      </c>
      <c r="M230" s="478" t="s">
        <v>1639</v>
      </c>
      <c r="N230" s="401"/>
      <c r="O230" s="329" t="s">
        <v>25</v>
      </c>
      <c r="P230" s="329" t="s">
        <v>1640</v>
      </c>
      <c r="Q230" s="414" t="s">
        <v>1330</v>
      </c>
    </row>
    <row r="231" hidden="1">
      <c r="A231" s="51">
        <v>1229.0</v>
      </c>
      <c r="B231" s="51">
        <v>1229.0</v>
      </c>
      <c r="C231" s="289"/>
      <c r="D231" s="289">
        <f>IFERROR(__xludf.DUMMYFUNCTION("if(B231&lt;=999,if(B231&lt;=99,IF(B231&lt;=9,join(,""000"",B231),join(,""00"",B231)),join(,""0"",B231)),B231)"),1229.0)</f>
        <v>1229</v>
      </c>
      <c r="E231" s="326" t="s">
        <v>555</v>
      </c>
      <c r="F231" s="325" t="s">
        <v>20</v>
      </c>
      <c r="G231" s="289" t="str">
        <f t="shared" ref="G231:G245" si="54">VLOOKUP(D231,'Copy of Form Responses; CCTV Infra 1'!$G$2:$I$675,2,false)</f>
        <v>#REF!</v>
      </c>
      <c r="H231" s="408" t="s">
        <v>21</v>
      </c>
      <c r="I231" s="289" t="str">
        <f t="shared" ref="I231:I245" si="55">VLOOKUP(D231,'Copy of Form Responses; CCTV Infra 1'!$G$2:$I$675,3,false)</f>
        <v>#REF!</v>
      </c>
      <c r="J231" s="413" t="s">
        <v>73</v>
      </c>
      <c r="K231" s="328" t="s">
        <v>20</v>
      </c>
      <c r="L231" s="291" t="s">
        <v>95</v>
      </c>
      <c r="M231" s="291" t="s">
        <v>556</v>
      </c>
      <c r="N231" s="401">
        <v>80.0</v>
      </c>
      <c r="O231" s="481" t="s">
        <v>25</v>
      </c>
      <c r="P231" s="291" t="s">
        <v>86</v>
      </c>
      <c r="Q231" s="414" t="s">
        <v>1330</v>
      </c>
    </row>
    <row r="232" hidden="1">
      <c r="A232" s="324">
        <v>834.0</v>
      </c>
      <c r="B232" s="324">
        <v>834.0</v>
      </c>
      <c r="C232" s="418"/>
      <c r="D232" s="418" t="str">
        <f>IFERROR(__xludf.DUMMYFUNCTION("if(B232&lt;=999,if(B232&lt;=99,IF(B232&lt;=9,join(,""000"",B232),join(,""00"",B232)),join(,""0"",B232)),B232)"),"0834")</f>
        <v>0834</v>
      </c>
      <c r="E232" s="442" t="s">
        <v>558</v>
      </c>
      <c r="F232" s="418" t="s">
        <v>20</v>
      </c>
      <c r="G232" s="418" t="str">
        <f t="shared" si="54"/>
        <v>#REF!</v>
      </c>
      <c r="H232" s="419" t="s">
        <v>21</v>
      </c>
      <c r="I232" s="418" t="str">
        <f t="shared" si="55"/>
        <v>#REF!</v>
      </c>
      <c r="J232" s="420" t="s">
        <v>73</v>
      </c>
      <c r="K232" s="421" t="s">
        <v>20</v>
      </c>
      <c r="L232" s="443" t="s">
        <v>559</v>
      </c>
      <c r="M232" s="443" t="s">
        <v>556</v>
      </c>
      <c r="N232" s="422">
        <v>80.0</v>
      </c>
      <c r="O232" s="443" t="s">
        <v>25</v>
      </c>
      <c r="P232" s="443" t="s">
        <v>86</v>
      </c>
      <c r="Q232" s="423" t="s">
        <v>1330</v>
      </c>
    </row>
    <row r="233" hidden="1">
      <c r="A233" s="469">
        <v>1053.0</v>
      </c>
      <c r="B233" s="469">
        <v>1053.0</v>
      </c>
      <c r="C233" s="418">
        <v>109.0</v>
      </c>
      <c r="D233" s="416">
        <f>IFERROR(__xludf.DUMMYFUNCTION("if(B233&lt;=999,if(B233&lt;=99,IF(B233&lt;=9,join(,""000"",B233),join(,""00"",B233)),join(,""0"",B233)),B233)"),1053.0)</f>
        <v>1053</v>
      </c>
      <c r="E233" s="470" t="s">
        <v>560</v>
      </c>
      <c r="F233" s="416" t="s">
        <v>20</v>
      </c>
      <c r="G233" s="416" t="str">
        <f t="shared" si="54"/>
        <v>#REF!</v>
      </c>
      <c r="H233" s="416" t="s">
        <v>21</v>
      </c>
      <c r="I233" s="416" t="str">
        <f t="shared" si="55"/>
        <v>#REF!</v>
      </c>
      <c r="J233" s="471" t="s">
        <v>34</v>
      </c>
      <c r="K233" s="472" t="s">
        <v>20</v>
      </c>
      <c r="L233" s="423" t="s">
        <v>559</v>
      </c>
      <c r="M233" s="423" t="s">
        <v>556</v>
      </c>
      <c r="N233" s="423">
        <v>80.0</v>
      </c>
      <c r="O233" s="423" t="s">
        <v>25</v>
      </c>
      <c r="P233" s="423" t="s">
        <v>86</v>
      </c>
      <c r="Q233" s="423" t="s">
        <v>1330</v>
      </c>
    </row>
    <row r="234" hidden="1">
      <c r="A234" s="55">
        <v>1377.0</v>
      </c>
      <c r="B234" s="55">
        <v>1377.0</v>
      </c>
      <c r="C234" s="298">
        <v>110.0</v>
      </c>
      <c r="D234" s="298">
        <f>IFERROR(__xludf.DUMMYFUNCTION("if(B234&lt;=999,if(B234&lt;=99,IF(B234&lt;=9,join(,""000"",B234),join(,""00"",B234)),join(,""0"",B234)),B234)"),1377.0)</f>
        <v>1377</v>
      </c>
      <c r="E234" s="425" t="s">
        <v>563</v>
      </c>
      <c r="F234" s="426" t="s">
        <v>20</v>
      </c>
      <c r="G234" s="298" t="str">
        <f t="shared" si="54"/>
        <v>#REF!</v>
      </c>
      <c r="H234" s="426" t="s">
        <v>21</v>
      </c>
      <c r="I234" s="298" t="str">
        <f t="shared" si="55"/>
        <v>#REF!</v>
      </c>
      <c r="J234" s="405" t="s">
        <v>77</v>
      </c>
      <c r="K234" s="427" t="s">
        <v>20</v>
      </c>
      <c r="L234" s="414" t="s">
        <v>95</v>
      </c>
      <c r="M234" s="414" t="s">
        <v>564</v>
      </c>
      <c r="N234" s="407">
        <v>80.0</v>
      </c>
      <c r="O234" s="414" t="s">
        <v>25</v>
      </c>
      <c r="P234" s="414" t="s">
        <v>55</v>
      </c>
      <c r="Q234" s="414" t="s">
        <v>1330</v>
      </c>
    </row>
    <row r="235" hidden="1">
      <c r="A235" s="324">
        <v>1234.0</v>
      </c>
      <c r="B235" s="324">
        <v>1234.0</v>
      </c>
      <c r="C235" s="418">
        <v>111.0</v>
      </c>
      <c r="D235" s="418">
        <f>IFERROR(__xludf.DUMMYFUNCTION("if(B235&lt;=999,if(B235&lt;=99,IF(B235&lt;=9,join(,""000"",B235),join(,""00"",B235)),join(,""0"",B235)),B235)"),1234.0)</f>
        <v>1234</v>
      </c>
      <c r="E235" s="417" t="s">
        <v>565</v>
      </c>
      <c r="F235" s="418" t="s">
        <v>20</v>
      </c>
      <c r="G235" s="418" t="str">
        <f t="shared" si="54"/>
        <v>#REF!</v>
      </c>
      <c r="H235" s="419" t="s">
        <v>21</v>
      </c>
      <c r="I235" s="418" t="str">
        <f t="shared" si="55"/>
        <v>#REF!</v>
      </c>
      <c r="J235" s="420" t="s">
        <v>22</v>
      </c>
      <c r="K235" s="421" t="s">
        <v>20</v>
      </c>
      <c r="L235" s="443" t="s">
        <v>95</v>
      </c>
      <c r="M235" s="454" t="s">
        <v>566</v>
      </c>
      <c r="N235" s="422" t="s">
        <v>567</v>
      </c>
      <c r="O235" s="443" t="s">
        <v>25</v>
      </c>
      <c r="P235" s="443" t="s">
        <v>55</v>
      </c>
      <c r="Q235" s="423" t="s">
        <v>1330</v>
      </c>
    </row>
    <row r="236" hidden="1">
      <c r="A236" s="324">
        <v>1076.0</v>
      </c>
      <c r="B236" s="415">
        <v>1076.0</v>
      </c>
      <c r="C236" s="418">
        <v>112.0</v>
      </c>
      <c r="D236" s="418">
        <f>IFERROR(__xludf.DUMMYFUNCTION("if(B236&lt;=999,if(B236&lt;=99,IF(B236&lt;=9,join(,""000"",B236),join(,""00"",B236)),join(,""0"",B236)),B236)"),1076.0)</f>
        <v>1076</v>
      </c>
      <c r="E236" s="417" t="s">
        <v>568</v>
      </c>
      <c r="F236" s="418" t="s">
        <v>20</v>
      </c>
      <c r="G236" s="418" t="str">
        <f t="shared" si="54"/>
        <v>#REF!</v>
      </c>
      <c r="H236" s="419" t="s">
        <v>21</v>
      </c>
      <c r="I236" s="418" t="str">
        <f t="shared" si="55"/>
        <v>#REF!</v>
      </c>
      <c r="J236" s="420" t="s">
        <v>101</v>
      </c>
      <c r="K236" s="421" t="s">
        <v>20</v>
      </c>
      <c r="L236" s="443" t="s">
        <v>95</v>
      </c>
      <c r="M236" s="422" t="s">
        <v>419</v>
      </c>
      <c r="N236" s="422">
        <v>6036.0</v>
      </c>
      <c r="O236" s="422" t="s">
        <v>25</v>
      </c>
      <c r="P236" s="422" t="s">
        <v>420</v>
      </c>
      <c r="Q236" s="423" t="s">
        <v>1330</v>
      </c>
    </row>
    <row r="237" hidden="1">
      <c r="A237" s="324">
        <v>273.0</v>
      </c>
      <c r="B237" s="324">
        <v>273.0</v>
      </c>
      <c r="C237" s="416">
        <v>113.0</v>
      </c>
      <c r="D237" s="418" t="str">
        <f>IFERROR(__xludf.DUMMYFUNCTION("if(B237&lt;=999,if(B237&lt;=99,IF(B237&lt;=9,join(,""000"",B237),join(,""00"",B237)),join(,""0"",B237)),B237)"),"0273")</f>
        <v>0273</v>
      </c>
      <c r="E237" s="417" t="s">
        <v>569</v>
      </c>
      <c r="F237" s="418" t="s">
        <v>20</v>
      </c>
      <c r="G237" s="418" t="str">
        <f t="shared" si="54"/>
        <v>#REF!</v>
      </c>
      <c r="H237" s="419" t="s">
        <v>21</v>
      </c>
      <c r="I237" s="418" t="str">
        <f t="shared" si="55"/>
        <v>#REF!</v>
      </c>
      <c r="J237" s="420" t="s">
        <v>101</v>
      </c>
      <c r="K237" s="421" t="s">
        <v>20</v>
      </c>
      <c r="L237" s="443" t="s">
        <v>95</v>
      </c>
      <c r="M237" s="422"/>
      <c r="N237" s="422">
        <v>6036.0</v>
      </c>
      <c r="O237" s="422" t="s">
        <v>25</v>
      </c>
      <c r="P237" s="422" t="s">
        <v>420</v>
      </c>
      <c r="Q237" s="423" t="s">
        <v>1330</v>
      </c>
    </row>
    <row r="238" hidden="1">
      <c r="A238" s="482">
        <v>1217.0</v>
      </c>
      <c r="B238" s="482">
        <v>1217.0</v>
      </c>
      <c r="C238" s="403">
        <v>114.0</v>
      </c>
      <c r="D238" s="403">
        <f>IFERROR(__xludf.DUMMYFUNCTION("if(B238&lt;=999,if(B238&lt;=99,IF(B238&lt;=9,join(,""000"",B238),join(,""00"",B238)),join(,""0"",B238)),B238)"),1217.0)</f>
        <v>1217</v>
      </c>
      <c r="E238" s="483" t="s">
        <v>570</v>
      </c>
      <c r="F238" s="403" t="s">
        <v>20</v>
      </c>
      <c r="G238" s="403" t="str">
        <f t="shared" si="54"/>
        <v>#REF!</v>
      </c>
      <c r="H238" s="484" t="s">
        <v>21</v>
      </c>
      <c r="I238" s="403" t="str">
        <f t="shared" si="55"/>
        <v>#REF!</v>
      </c>
      <c r="J238" s="485" t="s">
        <v>77</v>
      </c>
      <c r="K238" s="486" t="s">
        <v>20</v>
      </c>
      <c r="L238" s="487" t="s">
        <v>360</v>
      </c>
      <c r="M238" s="487" t="s">
        <v>571</v>
      </c>
      <c r="N238" s="487" t="s">
        <v>572</v>
      </c>
      <c r="O238" s="487" t="s">
        <v>25</v>
      </c>
      <c r="P238" s="487" t="s">
        <v>55</v>
      </c>
      <c r="Q238" s="488" t="s">
        <v>1330</v>
      </c>
    </row>
    <row r="239" hidden="1">
      <c r="A239" s="51">
        <v>397.0</v>
      </c>
      <c r="B239" s="51">
        <v>397.0</v>
      </c>
      <c r="C239" s="289">
        <v>115.0</v>
      </c>
      <c r="D239" s="289" t="str">
        <f>IFERROR(__xludf.DUMMYFUNCTION("if(B239&lt;=999,if(B239&lt;=99,IF(B239&lt;=9,join(,""000"",B239),join(,""00"",B239)),join(,""0"",B239)),B239)"),"0397")</f>
        <v>0397</v>
      </c>
      <c r="E239" s="301" t="s">
        <v>573</v>
      </c>
      <c r="F239" s="325" t="s">
        <v>20</v>
      </c>
      <c r="G239" s="289" t="str">
        <f t="shared" si="54"/>
        <v>#REF!</v>
      </c>
      <c r="H239" s="408" t="s">
        <v>21</v>
      </c>
      <c r="I239" s="289" t="str">
        <f t="shared" si="55"/>
        <v>#REF!</v>
      </c>
      <c r="J239" s="400" t="s">
        <v>22</v>
      </c>
      <c r="K239" s="328" t="s">
        <v>20</v>
      </c>
      <c r="L239" s="329" t="s">
        <v>583</v>
      </c>
      <c r="M239" s="430" t="s">
        <v>574</v>
      </c>
      <c r="N239" s="401" t="s">
        <v>244</v>
      </c>
      <c r="O239" s="329" t="s">
        <v>25</v>
      </c>
      <c r="P239" s="329" t="s">
        <v>893</v>
      </c>
      <c r="Q239" s="414" t="s">
        <v>1330</v>
      </c>
    </row>
    <row r="240" hidden="1">
      <c r="A240" s="51">
        <v>1291.0</v>
      </c>
      <c r="B240" s="51">
        <v>1291.0</v>
      </c>
      <c r="C240" s="289"/>
      <c r="D240" s="289">
        <f>IFERROR(__xludf.DUMMYFUNCTION("if(B240&lt;=999,if(B240&lt;=99,IF(B240&lt;=9,join(,""000"",B240),join(,""00"",B240)),join(,""0"",B240)),B240)"),1291.0)</f>
        <v>1291</v>
      </c>
      <c r="E240" s="326" t="s">
        <v>575</v>
      </c>
      <c r="F240" s="325" t="s">
        <v>20</v>
      </c>
      <c r="G240" s="289" t="str">
        <f t="shared" si="54"/>
        <v>#REF!</v>
      </c>
      <c r="H240" s="408" t="s">
        <v>21</v>
      </c>
      <c r="I240" s="289" t="str">
        <f t="shared" si="55"/>
        <v>#REF!</v>
      </c>
      <c r="J240" s="400" t="s">
        <v>99</v>
      </c>
      <c r="K240" s="328" t="s">
        <v>20</v>
      </c>
      <c r="L240" s="329" t="s">
        <v>1641</v>
      </c>
      <c r="M240" s="329" t="s">
        <v>1642</v>
      </c>
      <c r="N240" s="401">
        <v>64.0</v>
      </c>
      <c r="O240" s="329" t="s">
        <v>104</v>
      </c>
      <c r="P240" s="329" t="s">
        <v>55</v>
      </c>
      <c r="Q240" s="414" t="s">
        <v>1330</v>
      </c>
    </row>
    <row r="241" hidden="1">
      <c r="A241" s="51">
        <v>609.0</v>
      </c>
      <c r="B241" s="51">
        <v>609.0</v>
      </c>
      <c r="C241" s="298">
        <v>116.0</v>
      </c>
      <c r="D241" s="289" t="str">
        <f>IFERROR(__xludf.DUMMYFUNCTION("if(B241&lt;=999,if(B241&lt;=99,IF(B241&lt;=9,join(,""000"",B241),join(,""00"",B241)),join(,""0"",B241)),B241)"),"0609")</f>
        <v>0609</v>
      </c>
      <c r="E241" s="301" t="s">
        <v>577</v>
      </c>
      <c r="F241" s="325" t="s">
        <v>20</v>
      </c>
      <c r="G241" s="289" t="str">
        <f t="shared" si="54"/>
        <v>#REF!</v>
      </c>
      <c r="H241" s="408" t="s">
        <v>21</v>
      </c>
      <c r="I241" s="289" t="str">
        <f t="shared" si="55"/>
        <v>#REF!</v>
      </c>
      <c r="J241" s="400" t="s">
        <v>22</v>
      </c>
      <c r="K241" s="328" t="s">
        <v>20</v>
      </c>
      <c r="L241" s="329" t="s">
        <v>360</v>
      </c>
      <c r="M241" s="329" t="s">
        <v>578</v>
      </c>
      <c r="N241" s="401">
        <v>16.0</v>
      </c>
      <c r="O241" s="329" t="s">
        <v>25</v>
      </c>
      <c r="P241" s="329" t="s">
        <v>55</v>
      </c>
      <c r="Q241" s="414" t="s">
        <v>1330</v>
      </c>
    </row>
    <row r="242" hidden="1">
      <c r="A242" s="324">
        <v>1315.0</v>
      </c>
      <c r="B242" s="415">
        <v>1315.0</v>
      </c>
      <c r="C242" s="418">
        <v>117.0</v>
      </c>
      <c r="D242" s="418">
        <f>IFERROR(__xludf.DUMMYFUNCTION("if(B242&lt;=999,if(B242&lt;=99,IF(B242&lt;=9,join(,""000"",B242),join(,""00"",B242)),join(,""0"",B242)),B242)"),1315.0)</f>
        <v>1315</v>
      </c>
      <c r="E242" s="417" t="s">
        <v>579</v>
      </c>
      <c r="F242" s="418" t="s">
        <v>20</v>
      </c>
      <c r="G242" s="418" t="str">
        <f t="shared" si="54"/>
        <v>#REF!</v>
      </c>
      <c r="H242" s="419" t="s">
        <v>21</v>
      </c>
      <c r="I242" s="418" t="str">
        <f t="shared" si="55"/>
        <v>#REF!</v>
      </c>
      <c r="J242" s="420" t="s">
        <v>77</v>
      </c>
      <c r="K242" s="421" t="s">
        <v>20</v>
      </c>
      <c r="L242" s="422" t="s">
        <v>360</v>
      </c>
      <c r="M242" s="422" t="s">
        <v>578</v>
      </c>
      <c r="N242" s="422" t="s">
        <v>580</v>
      </c>
      <c r="O242" s="422" t="s">
        <v>25</v>
      </c>
      <c r="P242" s="422" t="s">
        <v>55</v>
      </c>
      <c r="Q242" s="423" t="s">
        <v>1330</v>
      </c>
    </row>
    <row r="243" hidden="1">
      <c r="A243" s="51">
        <v>1277.0</v>
      </c>
      <c r="B243" s="51">
        <v>1277.0</v>
      </c>
      <c r="C243" s="289"/>
      <c r="D243" s="289">
        <f>IFERROR(__xludf.DUMMYFUNCTION("if(B243&lt;=999,if(B243&lt;=99,IF(B243&lt;=9,join(,""000"",B243),join(,""00"",B243)),join(,""0"",B243)),B243)"),1277.0)</f>
        <v>1277</v>
      </c>
      <c r="E243" s="326" t="s">
        <v>581</v>
      </c>
      <c r="F243" s="325" t="s">
        <v>20</v>
      </c>
      <c r="G243" s="289" t="str">
        <f t="shared" si="54"/>
        <v>#REF!</v>
      </c>
      <c r="H243" s="408" t="s">
        <v>21</v>
      </c>
      <c r="I243" s="289" t="str">
        <f t="shared" si="55"/>
        <v>#REF!</v>
      </c>
      <c r="J243" s="413" t="s">
        <v>77</v>
      </c>
      <c r="K243" s="328" t="s">
        <v>20</v>
      </c>
      <c r="L243" s="329" t="s">
        <v>28</v>
      </c>
      <c r="M243" s="329" t="s">
        <v>1643</v>
      </c>
      <c r="N243" s="401" t="s">
        <v>334</v>
      </c>
      <c r="O243" s="329" t="s">
        <v>1644</v>
      </c>
      <c r="P243" s="329" t="s">
        <v>1645</v>
      </c>
      <c r="Q243" s="414" t="s">
        <v>1330</v>
      </c>
    </row>
    <row r="244" hidden="1">
      <c r="A244" s="51">
        <v>1065.0</v>
      </c>
      <c r="B244" s="51">
        <v>1065.0</v>
      </c>
      <c r="C244" s="289">
        <v>118.0</v>
      </c>
      <c r="D244" s="289">
        <f>IFERROR(__xludf.DUMMYFUNCTION("if(B244&lt;=999,if(B244&lt;=99,IF(B244&lt;=9,join(,""000"",B244),join(,""00"",B244)),join(,""0"",B244)),B244)"),1065.0)</f>
        <v>1065</v>
      </c>
      <c r="E244" s="301" t="s">
        <v>582</v>
      </c>
      <c r="F244" s="325" t="s">
        <v>20</v>
      </c>
      <c r="G244" s="289" t="str">
        <f t="shared" si="54"/>
        <v>#REF!</v>
      </c>
      <c r="H244" s="408" t="s">
        <v>21</v>
      </c>
      <c r="I244" s="289" t="str">
        <f t="shared" si="55"/>
        <v>#REF!</v>
      </c>
      <c r="J244" s="413" t="s">
        <v>77</v>
      </c>
      <c r="K244" s="328" t="s">
        <v>20</v>
      </c>
      <c r="L244" s="329" t="s">
        <v>583</v>
      </c>
      <c r="M244" s="329" t="s">
        <v>584</v>
      </c>
      <c r="N244" s="401" t="s">
        <v>334</v>
      </c>
      <c r="O244" s="329" t="s">
        <v>25</v>
      </c>
      <c r="P244" s="329" t="s">
        <v>585</v>
      </c>
      <c r="Q244" s="414" t="s">
        <v>1330</v>
      </c>
    </row>
    <row r="245" hidden="1">
      <c r="A245" s="33">
        <v>1276.0</v>
      </c>
      <c r="B245" s="34">
        <v>1276.0</v>
      </c>
      <c r="C245" s="298">
        <v>119.0</v>
      </c>
      <c r="D245" s="289">
        <f>IFERROR(__xludf.DUMMYFUNCTION("if(B245&lt;=999,if(B245&lt;=99,IF(B245&lt;=9,join(,""000"",B245),join(,""00"",B245)),join(,""0"",B245)),B245)"),1276.0)</f>
        <v>1276</v>
      </c>
      <c r="E245" s="296" t="s">
        <v>586</v>
      </c>
      <c r="F245" s="289" t="s">
        <v>20</v>
      </c>
      <c r="G245" s="289" t="str">
        <f t="shared" si="54"/>
        <v>#REF!</v>
      </c>
      <c r="H245" s="399" t="s">
        <v>21</v>
      </c>
      <c r="I245" s="289" t="str">
        <f t="shared" si="55"/>
        <v>#REF!</v>
      </c>
      <c r="J245" s="400" t="s">
        <v>77</v>
      </c>
      <c r="K245" s="290" t="s">
        <v>20</v>
      </c>
      <c r="L245" s="291" t="s">
        <v>48</v>
      </c>
      <c r="M245" s="401" t="s">
        <v>1646</v>
      </c>
      <c r="N245" s="401" t="s">
        <v>334</v>
      </c>
      <c r="O245" s="401" t="s">
        <v>587</v>
      </c>
      <c r="P245" s="401" t="s">
        <v>588</v>
      </c>
      <c r="Q245" s="414" t="s">
        <v>1330</v>
      </c>
    </row>
    <row r="246" hidden="1">
      <c r="A246" s="51">
        <v>1224.0</v>
      </c>
      <c r="B246" s="51">
        <v>1224.0</v>
      </c>
      <c r="C246" s="289">
        <v>120.0</v>
      </c>
      <c r="D246" s="289">
        <f>IFERROR(__xludf.DUMMYFUNCTION("if(B246&lt;=999,if(B246&lt;=99,IF(B246&lt;=9,join(,""000"",B246),join(,""00"",B246)),join(,""0"",B246)),B246)"),1224.0)</f>
        <v>1224</v>
      </c>
      <c r="E246" s="301" t="s">
        <v>590</v>
      </c>
      <c r="F246" s="325" t="s">
        <v>20</v>
      </c>
      <c r="G246" s="289" t="s">
        <v>1647</v>
      </c>
      <c r="H246" s="408" t="s">
        <v>21</v>
      </c>
      <c r="I246" s="289">
        <v>9.868755166E9</v>
      </c>
      <c r="J246" s="413" t="s">
        <v>1648</v>
      </c>
      <c r="K246" s="328" t="s">
        <v>20</v>
      </c>
      <c r="L246" s="329" t="s">
        <v>95</v>
      </c>
      <c r="M246" s="329" t="s">
        <v>592</v>
      </c>
      <c r="N246" s="401" t="e">
        <v>#N/A</v>
      </c>
      <c r="O246" s="439" t="s">
        <v>594</v>
      </c>
      <c r="P246" s="439" t="s">
        <v>595</v>
      </c>
      <c r="Q246" s="414" t="s">
        <v>1330</v>
      </c>
    </row>
    <row r="247" hidden="1">
      <c r="A247" s="324">
        <v>1114.0</v>
      </c>
      <c r="B247" s="324">
        <v>1114.0</v>
      </c>
      <c r="C247" s="418">
        <v>121.0</v>
      </c>
      <c r="D247" s="418">
        <f>IFERROR(__xludf.DUMMYFUNCTION("if(B247&lt;=999,if(B247&lt;=99,IF(B247&lt;=9,join(,""000"",B247),join(,""00"",B247)),join(,""0"",B247)),B247)"),1114.0)</f>
        <v>1114</v>
      </c>
      <c r="E247" s="417" t="s">
        <v>591</v>
      </c>
      <c r="F247" s="418" t="s">
        <v>20</v>
      </c>
      <c r="G247" s="418" t="str">
        <f t="shared" ref="G247:G265" si="56">VLOOKUP(D247,'Copy of Form Responses; CCTV Infra 1'!$G$2:$I$675,2,false)</f>
        <v>#REF!</v>
      </c>
      <c r="H247" s="419" t="s">
        <v>21</v>
      </c>
      <c r="I247" s="418" t="str">
        <f t="shared" ref="I247:I265" si="57">VLOOKUP(D247,'Copy of Form Responses; CCTV Infra 1'!$G$2:$I$675,3,false)</f>
        <v>#REF!</v>
      </c>
      <c r="J247" s="420" t="s">
        <v>77</v>
      </c>
      <c r="K247" s="421" t="s">
        <v>20</v>
      </c>
      <c r="L247" s="422" t="s">
        <v>95</v>
      </c>
      <c r="M247" s="489" t="s">
        <v>1649</v>
      </c>
      <c r="N247" s="422" t="s">
        <v>593</v>
      </c>
      <c r="O247" s="444" t="s">
        <v>594</v>
      </c>
      <c r="P247" s="444" t="s">
        <v>595</v>
      </c>
      <c r="Q247" s="423" t="s">
        <v>1330</v>
      </c>
    </row>
    <row r="248" hidden="1">
      <c r="A248" s="51">
        <v>1288.0</v>
      </c>
      <c r="B248" s="51">
        <v>1288.0</v>
      </c>
      <c r="C248" s="289"/>
      <c r="D248" s="289">
        <f>IFERROR(__xludf.DUMMYFUNCTION("if(B248&lt;=999,if(B248&lt;=99,IF(B248&lt;=9,join(,""000"",B248),join(,""00"",B248)),join(,""0"",B248)),B248)"),1288.0)</f>
        <v>1288</v>
      </c>
      <c r="E248" s="326" t="s">
        <v>597</v>
      </c>
      <c r="F248" s="325" t="s">
        <v>20</v>
      </c>
      <c r="G248" s="289" t="str">
        <f t="shared" si="56"/>
        <v>#REF!</v>
      </c>
      <c r="H248" s="408" t="s">
        <v>21</v>
      </c>
      <c r="I248" s="289" t="str">
        <f t="shared" si="57"/>
        <v>#REF!</v>
      </c>
      <c r="J248" s="400" t="s">
        <v>22</v>
      </c>
      <c r="K248" s="328" t="s">
        <v>20</v>
      </c>
      <c r="L248" s="329" t="s">
        <v>28</v>
      </c>
      <c r="M248" s="329" t="s">
        <v>1650</v>
      </c>
      <c r="N248" s="401">
        <v>7000.0</v>
      </c>
      <c r="O248" s="329" t="s">
        <v>25</v>
      </c>
      <c r="P248" s="329" t="s">
        <v>86</v>
      </c>
      <c r="Q248" s="414" t="s">
        <v>1330</v>
      </c>
    </row>
    <row r="249" hidden="1">
      <c r="A249" s="55">
        <v>915.0</v>
      </c>
      <c r="B249" s="55">
        <v>915.0</v>
      </c>
      <c r="C249" s="298">
        <v>122.0</v>
      </c>
      <c r="D249" s="298" t="str">
        <f>IFERROR(__xludf.DUMMYFUNCTION("if(B249&lt;=999,if(B249&lt;=99,IF(B249&lt;=9,join(,""000"",B249),join(,""00"",B249)),join(,""0"",B249)),B249)"),"0915")</f>
        <v>0915</v>
      </c>
      <c r="E249" s="425" t="s">
        <v>599</v>
      </c>
      <c r="F249" s="426" t="s">
        <v>20</v>
      </c>
      <c r="G249" s="298" t="str">
        <f t="shared" si="56"/>
        <v>#REF!</v>
      </c>
      <c r="H249" s="426" t="s">
        <v>21</v>
      </c>
      <c r="I249" s="298" t="str">
        <f t="shared" si="57"/>
        <v>#REF!</v>
      </c>
      <c r="J249" s="405" t="s">
        <v>22</v>
      </c>
      <c r="K249" s="427" t="s">
        <v>20</v>
      </c>
      <c r="L249" s="414" t="s">
        <v>95</v>
      </c>
      <c r="M249" s="414" t="s">
        <v>600</v>
      </c>
      <c r="N249" s="407">
        <v>5555.0</v>
      </c>
      <c r="O249" s="414" t="s">
        <v>25</v>
      </c>
      <c r="P249" s="414" t="s">
        <v>55</v>
      </c>
      <c r="Q249" s="414" t="s">
        <v>1330</v>
      </c>
    </row>
    <row r="250" hidden="1">
      <c r="A250" s="33">
        <v>84.0</v>
      </c>
      <c r="B250" s="34">
        <v>84.0</v>
      </c>
      <c r="C250" s="289">
        <v>123.0</v>
      </c>
      <c r="D250" s="289" t="str">
        <f>IFERROR(__xludf.DUMMYFUNCTION("if(B250&lt;=999,if(B250&lt;=99,IF(B250&lt;=9,join(,""000"",B250),join(,""00"",B250)),join(,""0"",B250)),B250)"),"0084")</f>
        <v>0084</v>
      </c>
      <c r="E250" s="296" t="s">
        <v>602</v>
      </c>
      <c r="F250" s="289" t="s">
        <v>20</v>
      </c>
      <c r="G250" s="289" t="str">
        <f t="shared" si="56"/>
        <v>#REF!</v>
      </c>
      <c r="H250" s="399" t="s">
        <v>21</v>
      </c>
      <c r="I250" s="289" t="str">
        <f t="shared" si="57"/>
        <v>#REF!</v>
      </c>
      <c r="J250" s="400" t="s">
        <v>117</v>
      </c>
      <c r="K250" s="290" t="s">
        <v>20</v>
      </c>
      <c r="L250" s="401" t="s">
        <v>603</v>
      </c>
      <c r="M250" s="401" t="s">
        <v>604</v>
      </c>
      <c r="N250" s="401">
        <v>80.0</v>
      </c>
      <c r="O250" s="401" t="s">
        <v>605</v>
      </c>
      <c r="P250" s="429" t="s">
        <v>606</v>
      </c>
      <c r="Q250" s="414" t="s">
        <v>1330</v>
      </c>
    </row>
    <row r="251" hidden="1">
      <c r="A251" s="55">
        <v>225.0</v>
      </c>
      <c r="B251" s="55">
        <v>225.0</v>
      </c>
      <c r="C251" s="289">
        <v>124.0</v>
      </c>
      <c r="D251" s="298" t="str">
        <f>IFERROR(__xludf.DUMMYFUNCTION("if(B251&lt;=999,if(B251&lt;=99,IF(B251&lt;=9,join(,""000"",B251),join(,""00"",B251)),join(,""0"",B251)),B251)"),"0225")</f>
        <v>0225</v>
      </c>
      <c r="E251" s="425" t="s">
        <v>607</v>
      </c>
      <c r="F251" s="426" t="s">
        <v>20</v>
      </c>
      <c r="G251" s="298" t="str">
        <f t="shared" si="56"/>
        <v>#REF!</v>
      </c>
      <c r="H251" s="426" t="s">
        <v>21</v>
      </c>
      <c r="I251" s="298" t="str">
        <f t="shared" si="57"/>
        <v>#REF!</v>
      </c>
      <c r="J251" s="405" t="s">
        <v>22</v>
      </c>
      <c r="K251" s="427" t="s">
        <v>20</v>
      </c>
      <c r="L251" s="401" t="s">
        <v>603</v>
      </c>
      <c r="M251" s="428" t="s">
        <v>608</v>
      </c>
      <c r="N251" s="407">
        <v>9090.0</v>
      </c>
      <c r="O251" s="439" t="s">
        <v>609</v>
      </c>
      <c r="P251" s="439" t="s">
        <v>606</v>
      </c>
      <c r="Q251" s="414" t="s">
        <v>1330</v>
      </c>
    </row>
    <row r="252" hidden="1">
      <c r="A252" s="51">
        <v>1200.0</v>
      </c>
      <c r="B252" s="51">
        <v>1200.0</v>
      </c>
      <c r="C252" s="298">
        <v>125.0</v>
      </c>
      <c r="D252" s="289">
        <f>IFERROR(__xludf.DUMMYFUNCTION("if(B252&lt;=999,if(B252&lt;=99,IF(B252&lt;=9,join(,""000"",B252),join(,""00"",B252)),join(,""0"",B252)),B252)"),1200.0)</f>
        <v>1200</v>
      </c>
      <c r="E252" s="301" t="s">
        <v>610</v>
      </c>
      <c r="F252" s="325" t="s">
        <v>20</v>
      </c>
      <c r="G252" s="289" t="str">
        <f t="shared" si="56"/>
        <v>#REF!</v>
      </c>
      <c r="H252" s="408" t="s">
        <v>21</v>
      </c>
      <c r="I252" s="289" t="str">
        <f t="shared" si="57"/>
        <v>#REF!</v>
      </c>
      <c r="J252" s="413" t="s">
        <v>22</v>
      </c>
      <c r="K252" s="328" t="s">
        <v>20</v>
      </c>
      <c r="L252" s="329" t="s">
        <v>95</v>
      </c>
      <c r="M252" s="329" t="s">
        <v>1651</v>
      </c>
      <c r="N252" s="401" t="e">
        <v>#N/A</v>
      </c>
      <c r="O252" s="329" t="s">
        <v>25</v>
      </c>
      <c r="P252" s="329" t="s">
        <v>86</v>
      </c>
      <c r="Q252" s="414" t="s">
        <v>1330</v>
      </c>
    </row>
    <row r="253" hidden="1">
      <c r="A253" s="55">
        <v>1075.0</v>
      </c>
      <c r="B253" s="55">
        <v>1075.0</v>
      </c>
      <c r="C253" s="298"/>
      <c r="D253" s="298">
        <f>IFERROR(__xludf.DUMMYFUNCTION("if(B253&lt;=999,if(B253&lt;=99,IF(B253&lt;=9,join(,""000"",B253),join(,""00"",B253)),join(,""0"",B253)),B253)"),1075.0)</f>
        <v>1075</v>
      </c>
      <c r="E253" s="457" t="s">
        <v>611</v>
      </c>
      <c r="F253" s="426" t="s">
        <v>20</v>
      </c>
      <c r="G253" s="298" t="str">
        <f t="shared" si="56"/>
        <v>#REF!</v>
      </c>
      <c r="H253" s="426" t="s">
        <v>21</v>
      </c>
      <c r="I253" s="298" t="str">
        <f t="shared" si="57"/>
        <v>#REF!</v>
      </c>
      <c r="J253" s="490" t="s">
        <v>34</v>
      </c>
      <c r="K253" s="427" t="s">
        <v>20</v>
      </c>
      <c r="L253" s="414" t="s">
        <v>330</v>
      </c>
      <c r="M253" s="491" t="s">
        <v>1652</v>
      </c>
      <c r="N253" s="407" t="s">
        <v>613</v>
      </c>
      <c r="O253" s="414" t="s">
        <v>25</v>
      </c>
      <c r="P253" s="414" t="s">
        <v>55</v>
      </c>
      <c r="Q253" s="414" t="s">
        <v>1330</v>
      </c>
    </row>
    <row r="254" hidden="1">
      <c r="A254" s="51">
        <v>1336.0</v>
      </c>
      <c r="B254" s="51">
        <v>1336.0</v>
      </c>
      <c r="C254" s="289">
        <v>126.0</v>
      </c>
      <c r="D254" s="289">
        <f>IFERROR(__xludf.DUMMYFUNCTION("if(B254&lt;=999,if(B254&lt;=99,IF(B254&lt;=9,join(,""000"",B254),join(,""00"",B254)),join(,""0"",B254)),B254)"),1336.0)</f>
        <v>1336</v>
      </c>
      <c r="E254" s="301" t="s">
        <v>615</v>
      </c>
      <c r="F254" s="325" t="s">
        <v>20</v>
      </c>
      <c r="G254" s="289" t="str">
        <f t="shared" si="56"/>
        <v>#REF!</v>
      </c>
      <c r="H254" s="408" t="s">
        <v>21</v>
      </c>
      <c r="I254" s="289" t="str">
        <f t="shared" si="57"/>
        <v>#REF!</v>
      </c>
      <c r="J254" s="413" t="s">
        <v>99</v>
      </c>
      <c r="K254" s="328" t="s">
        <v>20</v>
      </c>
      <c r="L254" s="329" t="s">
        <v>95</v>
      </c>
      <c r="M254" s="329" t="s">
        <v>616</v>
      </c>
      <c r="N254" s="401">
        <v>16.0</v>
      </c>
      <c r="O254" s="329" t="s">
        <v>25</v>
      </c>
      <c r="P254" s="329" t="s">
        <v>55</v>
      </c>
      <c r="Q254" s="414" t="s">
        <v>1330</v>
      </c>
    </row>
    <row r="255" hidden="1">
      <c r="A255" s="51">
        <v>1073.0</v>
      </c>
      <c r="B255" s="51">
        <v>1073.0</v>
      </c>
      <c r="C255" s="289">
        <v>127.0</v>
      </c>
      <c r="D255" s="289">
        <f>IFERROR(__xludf.DUMMYFUNCTION("if(B255&lt;=999,if(B255&lt;=99,IF(B255&lt;=9,join(,""000"",B255),join(,""00"",B255)),join(,""0"",B255)),B255)"),1073.0)</f>
        <v>1073</v>
      </c>
      <c r="E255" s="301" t="s">
        <v>617</v>
      </c>
      <c r="F255" s="325" t="s">
        <v>20</v>
      </c>
      <c r="G255" s="289" t="str">
        <f t="shared" si="56"/>
        <v>#REF!</v>
      </c>
      <c r="H255" s="408" t="s">
        <v>21</v>
      </c>
      <c r="I255" s="289" t="str">
        <f t="shared" si="57"/>
        <v>#REF!</v>
      </c>
      <c r="J255" s="400" t="s">
        <v>22</v>
      </c>
      <c r="K255" s="328" t="s">
        <v>20</v>
      </c>
      <c r="L255" s="329" t="s">
        <v>95</v>
      </c>
      <c r="M255" s="329" t="s">
        <v>618</v>
      </c>
      <c r="N255" s="401">
        <v>8000.0</v>
      </c>
      <c r="O255" s="329" t="s">
        <v>25</v>
      </c>
      <c r="P255" s="329" t="s">
        <v>256</v>
      </c>
      <c r="Q255" s="414" t="s">
        <v>1330</v>
      </c>
    </row>
    <row r="256" hidden="1">
      <c r="A256" s="33">
        <v>758.0</v>
      </c>
      <c r="B256" s="34">
        <v>758.0</v>
      </c>
      <c r="C256" s="298">
        <v>128.0</v>
      </c>
      <c r="D256" s="289" t="str">
        <f>IFERROR(__xludf.DUMMYFUNCTION("if(B256&lt;=999,if(B256&lt;=99,IF(B256&lt;=9,join(,""000"",B256),join(,""00"",B256)),join(,""0"",B256)),B256)"),"0758")</f>
        <v>0758</v>
      </c>
      <c r="E256" s="296" t="s">
        <v>619</v>
      </c>
      <c r="F256" s="289" t="s">
        <v>20</v>
      </c>
      <c r="G256" s="289" t="str">
        <f t="shared" si="56"/>
        <v>#REF!</v>
      </c>
      <c r="H256" s="399" t="s">
        <v>21</v>
      </c>
      <c r="I256" s="289" t="str">
        <f t="shared" si="57"/>
        <v>#REF!</v>
      </c>
      <c r="J256" s="400" t="s">
        <v>101</v>
      </c>
      <c r="K256" s="290" t="s">
        <v>20</v>
      </c>
      <c r="L256" s="401" t="s">
        <v>620</v>
      </c>
      <c r="M256" s="401" t="s">
        <v>621</v>
      </c>
      <c r="N256" s="401" t="s">
        <v>622</v>
      </c>
      <c r="O256" s="401" t="s">
        <v>25</v>
      </c>
      <c r="P256" s="401" t="s">
        <v>256</v>
      </c>
      <c r="Q256" s="414" t="s">
        <v>1330</v>
      </c>
    </row>
    <row r="257" hidden="1">
      <c r="A257" s="51">
        <v>1137.0</v>
      </c>
      <c r="B257" s="51">
        <v>1137.0</v>
      </c>
      <c r="C257" s="289">
        <v>129.0</v>
      </c>
      <c r="D257" s="289">
        <f>IFERROR(__xludf.DUMMYFUNCTION("if(B257&lt;=999,if(B257&lt;=99,IF(B257&lt;=9,join(,""000"",B257),join(,""00"",B257)),join(,""0"",B257)),B257)"),1137.0)</f>
        <v>1137</v>
      </c>
      <c r="E257" s="301" t="s">
        <v>623</v>
      </c>
      <c r="F257" s="325" t="s">
        <v>20</v>
      </c>
      <c r="G257" s="289" t="str">
        <f t="shared" si="56"/>
        <v>#REF!</v>
      </c>
      <c r="H257" s="408" t="s">
        <v>21</v>
      </c>
      <c r="I257" s="289" t="str">
        <f t="shared" si="57"/>
        <v>#REF!</v>
      </c>
      <c r="J257" s="400" t="s">
        <v>63</v>
      </c>
      <c r="K257" s="328" t="s">
        <v>20</v>
      </c>
      <c r="L257" s="329" t="s">
        <v>624</v>
      </c>
      <c r="M257" s="329" t="s">
        <v>625</v>
      </c>
      <c r="N257" s="401">
        <v>8000.0</v>
      </c>
      <c r="O257" s="329" t="s">
        <v>25</v>
      </c>
      <c r="P257" s="329" t="s">
        <v>55</v>
      </c>
      <c r="Q257" s="414" t="s">
        <v>1330</v>
      </c>
    </row>
    <row r="258" hidden="1">
      <c r="A258" s="51">
        <v>1270.0</v>
      </c>
      <c r="B258" s="51">
        <v>1270.0</v>
      </c>
      <c r="C258" s="289">
        <v>130.0</v>
      </c>
      <c r="D258" s="289">
        <f>IFERROR(__xludf.DUMMYFUNCTION("if(B258&lt;=999,if(B258&lt;=99,IF(B258&lt;=9,join(,""000"",B258),join(,""00"",B258)),join(,""0"",B258)),B258)"),1270.0)</f>
        <v>1270</v>
      </c>
      <c r="E258" s="301" t="s">
        <v>626</v>
      </c>
      <c r="F258" s="325" t="s">
        <v>20</v>
      </c>
      <c r="G258" s="289" t="str">
        <f t="shared" si="56"/>
        <v>#REF!</v>
      </c>
      <c r="H258" s="408" t="s">
        <v>21</v>
      </c>
      <c r="I258" s="289" t="str">
        <f t="shared" si="57"/>
        <v>#REF!</v>
      </c>
      <c r="J258" s="400" t="s">
        <v>22</v>
      </c>
      <c r="K258" s="328" t="s">
        <v>20</v>
      </c>
      <c r="L258" s="291" t="s">
        <v>330</v>
      </c>
      <c r="M258" s="291" t="s">
        <v>627</v>
      </c>
      <c r="N258" s="401">
        <v>2.20601225300923E15</v>
      </c>
      <c r="O258" s="439" t="s">
        <v>25</v>
      </c>
      <c r="P258" s="439" t="s">
        <v>55</v>
      </c>
      <c r="Q258" s="414" t="s">
        <v>1330</v>
      </c>
    </row>
    <row r="259" hidden="1">
      <c r="A259" s="33">
        <v>676.0</v>
      </c>
      <c r="B259" s="33">
        <v>676.0</v>
      </c>
      <c r="C259" s="298">
        <v>131.0</v>
      </c>
      <c r="D259" s="289" t="str">
        <f>IFERROR(__xludf.DUMMYFUNCTION("if(B259&lt;=999,if(B259&lt;=99,IF(B259&lt;=9,join(,""000"",B259),join(,""00"",B259)),join(,""0"",B259)),B259)"),"0676")</f>
        <v>0676</v>
      </c>
      <c r="E259" s="296" t="s">
        <v>628</v>
      </c>
      <c r="F259" s="289" t="s">
        <v>20</v>
      </c>
      <c r="G259" s="289" t="str">
        <f t="shared" si="56"/>
        <v>#REF!</v>
      </c>
      <c r="H259" s="399" t="s">
        <v>21</v>
      </c>
      <c r="I259" s="289" t="str">
        <f t="shared" si="57"/>
        <v>#REF!</v>
      </c>
      <c r="J259" s="400" t="s">
        <v>22</v>
      </c>
      <c r="K259" s="290" t="s">
        <v>20</v>
      </c>
      <c r="L259" s="401" t="s">
        <v>360</v>
      </c>
      <c r="M259" s="401" t="s">
        <v>629</v>
      </c>
      <c r="N259" s="401" t="s">
        <v>630</v>
      </c>
      <c r="O259" s="401" t="s">
        <v>25</v>
      </c>
      <c r="P259" s="401" t="s">
        <v>55</v>
      </c>
      <c r="Q259" s="414" t="s">
        <v>1330</v>
      </c>
    </row>
    <row r="260" hidden="1">
      <c r="A260" s="51">
        <v>1316.0</v>
      </c>
      <c r="B260" s="51">
        <v>1316.0</v>
      </c>
      <c r="C260" s="289">
        <v>132.0</v>
      </c>
      <c r="D260" s="289">
        <f>IFERROR(__xludf.DUMMYFUNCTION("if(B260&lt;=999,if(B260&lt;=99,IF(B260&lt;=9,join(,""000"",B260),join(,""00"",B260)),join(,""0"",B260)),B260)"),1316.0)</f>
        <v>1316</v>
      </c>
      <c r="E260" s="301" t="s">
        <v>631</v>
      </c>
      <c r="F260" s="325" t="s">
        <v>20</v>
      </c>
      <c r="G260" s="289" t="str">
        <f t="shared" si="56"/>
        <v>#REF!</v>
      </c>
      <c r="H260" s="408" t="s">
        <v>21</v>
      </c>
      <c r="I260" s="289" t="str">
        <f t="shared" si="57"/>
        <v>#REF!</v>
      </c>
      <c r="J260" s="400" t="s">
        <v>60</v>
      </c>
      <c r="K260" s="328" t="s">
        <v>20</v>
      </c>
      <c r="L260" s="329" t="s">
        <v>360</v>
      </c>
      <c r="M260" s="329" t="s">
        <v>632</v>
      </c>
      <c r="N260" s="401">
        <v>8.0</v>
      </c>
      <c r="O260" s="329" t="s">
        <v>25</v>
      </c>
      <c r="P260" s="329" t="s">
        <v>633</v>
      </c>
      <c r="Q260" s="414" t="s">
        <v>1330</v>
      </c>
    </row>
    <row r="261" hidden="1">
      <c r="A261" s="55">
        <v>1131.0</v>
      </c>
      <c r="B261" s="55">
        <v>1131.0</v>
      </c>
      <c r="C261" s="298"/>
      <c r="D261" s="298">
        <f>IFERROR(__xludf.DUMMYFUNCTION("if(B261&lt;=999,if(B261&lt;=99,IF(B261&lt;=9,join(,""000"",B261),join(,""00"",B261)),join(,""0"",B261)),B261)"),1131.0)</f>
        <v>1131</v>
      </c>
      <c r="E261" s="457" t="s">
        <v>634</v>
      </c>
      <c r="F261" s="426" t="s">
        <v>20</v>
      </c>
      <c r="G261" s="298" t="str">
        <f t="shared" si="56"/>
        <v>#REF!</v>
      </c>
      <c r="H261" s="426" t="s">
        <v>21</v>
      </c>
      <c r="I261" s="298" t="str">
        <f t="shared" si="57"/>
        <v>#REF!</v>
      </c>
      <c r="J261" s="490" t="s">
        <v>63</v>
      </c>
      <c r="K261" s="427" t="s">
        <v>20</v>
      </c>
      <c r="L261" s="414" t="s">
        <v>360</v>
      </c>
      <c r="M261" s="414" t="s">
        <v>635</v>
      </c>
      <c r="N261" s="407"/>
      <c r="O261" s="414" t="s">
        <v>25</v>
      </c>
      <c r="P261" s="414" t="s">
        <v>55</v>
      </c>
      <c r="Q261" s="414" t="s">
        <v>1330</v>
      </c>
    </row>
    <row r="262" hidden="1">
      <c r="A262" s="51">
        <v>1284.0</v>
      </c>
      <c r="B262" s="51">
        <v>1284.0</v>
      </c>
      <c r="C262" s="289">
        <v>133.0</v>
      </c>
      <c r="D262" s="289">
        <f>IFERROR(__xludf.DUMMYFUNCTION("if(B262&lt;=999,if(B262&lt;=99,IF(B262&lt;=9,join(,""000"",B262),join(,""00"",B262)),join(,""0"",B262)),B262)"),1284.0)</f>
        <v>1284</v>
      </c>
      <c r="E262" s="301" t="s">
        <v>637</v>
      </c>
      <c r="F262" s="325" t="s">
        <v>20</v>
      </c>
      <c r="G262" s="289" t="str">
        <f t="shared" si="56"/>
        <v>#REF!</v>
      </c>
      <c r="H262" s="408" t="s">
        <v>21</v>
      </c>
      <c r="I262" s="289" t="str">
        <f t="shared" si="57"/>
        <v>#REF!</v>
      </c>
      <c r="J262" s="400" t="s">
        <v>73</v>
      </c>
      <c r="K262" s="328" t="s">
        <v>20</v>
      </c>
      <c r="L262" s="329" t="s">
        <v>28</v>
      </c>
      <c r="M262" s="329" t="s">
        <v>638</v>
      </c>
      <c r="N262" s="401">
        <v>16.0</v>
      </c>
      <c r="O262" s="329" t="s">
        <v>25</v>
      </c>
      <c r="P262" s="329" t="s">
        <v>86</v>
      </c>
      <c r="Q262" s="414" t="s">
        <v>1330</v>
      </c>
    </row>
    <row r="263" hidden="1">
      <c r="A263" s="33">
        <v>1208.0</v>
      </c>
      <c r="B263" s="34">
        <v>1208.0</v>
      </c>
      <c r="C263" s="298">
        <v>134.0</v>
      </c>
      <c r="D263" s="289">
        <f>IFERROR(__xludf.DUMMYFUNCTION("if(B263&lt;=999,if(B263&lt;=99,IF(B263&lt;=9,join(,""000"",B263),join(,""00"",B263)),join(,""0"",B263)),B263)"),1208.0)</f>
        <v>1208</v>
      </c>
      <c r="E263" s="296" t="s">
        <v>640</v>
      </c>
      <c r="F263" s="289" t="s">
        <v>20</v>
      </c>
      <c r="G263" s="289" t="str">
        <f t="shared" si="56"/>
        <v>#REF!</v>
      </c>
      <c r="H263" s="399" t="s">
        <v>21</v>
      </c>
      <c r="I263" s="289" t="str">
        <f t="shared" si="57"/>
        <v>#REF!</v>
      </c>
      <c r="J263" s="400" t="s">
        <v>22</v>
      </c>
      <c r="K263" s="290" t="s">
        <v>20</v>
      </c>
      <c r="L263" s="401" t="s">
        <v>95</v>
      </c>
      <c r="M263" s="401" t="s">
        <v>641</v>
      </c>
      <c r="N263" s="401">
        <v>25001.0</v>
      </c>
      <c r="O263" s="401" t="s">
        <v>25</v>
      </c>
      <c r="P263" s="401" t="s">
        <v>86</v>
      </c>
      <c r="Q263" s="414" t="s">
        <v>1330</v>
      </c>
    </row>
    <row r="264" hidden="1">
      <c r="A264" s="33">
        <v>801.0</v>
      </c>
      <c r="B264" s="34">
        <v>801.0</v>
      </c>
      <c r="C264" s="289">
        <v>135.0</v>
      </c>
      <c r="D264" s="289" t="str">
        <f>IFERROR(__xludf.DUMMYFUNCTION("if(B264&lt;=999,if(B264&lt;=99,IF(B264&lt;=9,join(,""000"",B264),join(,""00"",B264)),join(,""0"",B264)),B264)"),"0801")</f>
        <v>0801</v>
      </c>
      <c r="E264" s="296" t="s">
        <v>644</v>
      </c>
      <c r="F264" s="289" t="s">
        <v>20</v>
      </c>
      <c r="G264" s="289" t="str">
        <f t="shared" si="56"/>
        <v>#REF!</v>
      </c>
      <c r="H264" s="399" t="s">
        <v>21</v>
      </c>
      <c r="I264" s="289" t="str">
        <f t="shared" si="57"/>
        <v>#REF!</v>
      </c>
      <c r="J264" s="400" t="s">
        <v>101</v>
      </c>
      <c r="K264" s="290" t="s">
        <v>20</v>
      </c>
      <c r="L264" s="401" t="s">
        <v>95</v>
      </c>
      <c r="M264" s="401" t="s">
        <v>1653</v>
      </c>
      <c r="N264" s="401" t="s">
        <v>645</v>
      </c>
      <c r="O264" s="401" t="s">
        <v>25</v>
      </c>
      <c r="P264" s="401" t="s">
        <v>55</v>
      </c>
      <c r="Q264" s="414" t="s">
        <v>1330</v>
      </c>
    </row>
    <row r="265" hidden="1">
      <c r="A265" s="51">
        <v>524.0</v>
      </c>
      <c r="B265" s="51">
        <v>524.0</v>
      </c>
      <c r="C265" s="289"/>
      <c r="D265" s="289" t="str">
        <f>IFERROR(__xludf.DUMMYFUNCTION("if(B265&lt;=999,if(B265&lt;=99,IF(B265&lt;=9,join(,""000"",B265),join(,""00"",B265)),join(,""0"",B265)),B265)"),"0524")</f>
        <v>0524</v>
      </c>
      <c r="E265" s="326" t="s">
        <v>646</v>
      </c>
      <c r="F265" s="325" t="s">
        <v>20</v>
      </c>
      <c r="G265" s="289" t="str">
        <f t="shared" si="56"/>
        <v>#REF!</v>
      </c>
      <c r="H265" s="408" t="s">
        <v>21</v>
      </c>
      <c r="I265" s="289" t="str">
        <f t="shared" si="57"/>
        <v>#REF!</v>
      </c>
      <c r="J265" s="400" t="s">
        <v>22</v>
      </c>
      <c r="K265" s="328" t="s">
        <v>20</v>
      </c>
      <c r="L265" s="329" t="s">
        <v>95</v>
      </c>
      <c r="M265" s="266" t="s">
        <v>1654</v>
      </c>
      <c r="N265" s="401">
        <v>64.0</v>
      </c>
      <c r="O265" s="329" t="s">
        <v>25</v>
      </c>
      <c r="P265" s="329" t="s">
        <v>86</v>
      </c>
      <c r="Q265" s="414" t="s">
        <v>1330</v>
      </c>
    </row>
    <row r="266" hidden="1">
      <c r="A266" s="33">
        <v>19.0</v>
      </c>
      <c r="B266" s="34">
        <v>19.0</v>
      </c>
      <c r="C266" s="289"/>
      <c r="D266" s="289" t="str">
        <f>IFERROR(__xludf.DUMMYFUNCTION("if(B266&lt;=999,if(B266&lt;=99,IF(B266&lt;=9,join(,""000"",B266),join(,""00"",B266)),join(,""0"",B266)),B266)"),"0019")</f>
        <v>0019</v>
      </c>
      <c r="E266" s="297" t="s">
        <v>647</v>
      </c>
      <c r="F266" s="289" t="s">
        <v>20</v>
      </c>
      <c r="G266" s="289" t="s">
        <v>1655</v>
      </c>
      <c r="H266" s="399" t="s">
        <v>21</v>
      </c>
      <c r="I266" s="289">
        <v>9.415179128E9</v>
      </c>
      <c r="J266" s="400"/>
      <c r="K266" s="290" t="s">
        <v>20</v>
      </c>
      <c r="L266" s="401" t="s">
        <v>95</v>
      </c>
      <c r="M266" s="401" t="s">
        <v>1656</v>
      </c>
      <c r="N266" s="401" t="e">
        <v>#N/A</v>
      </c>
      <c r="O266" s="401" t="s">
        <v>25</v>
      </c>
      <c r="P266" s="401" t="s">
        <v>86</v>
      </c>
      <c r="Q266" s="414" t="s">
        <v>1330</v>
      </c>
    </row>
    <row r="267" hidden="1">
      <c r="A267" s="51">
        <v>1271.0</v>
      </c>
      <c r="B267" s="51">
        <v>1271.0</v>
      </c>
      <c r="C267" s="289"/>
      <c r="D267" s="289">
        <f>IFERROR(__xludf.DUMMYFUNCTION("if(B267&lt;=999,if(B267&lt;=99,IF(B267&lt;=9,join(,""000"",B267),join(,""00"",B267)),join(,""0"",B267)),B267)"),1271.0)</f>
        <v>1271</v>
      </c>
      <c r="E267" s="326" t="s">
        <v>648</v>
      </c>
      <c r="F267" s="325" t="s">
        <v>20</v>
      </c>
      <c r="G267" s="289" t="str">
        <f t="shared" ref="G267:G271" si="58">VLOOKUP(D267,'Copy of Form Responses; CCTV Infra 1'!$G$2:$I$675,2,false)</f>
        <v>#REF!</v>
      </c>
      <c r="H267" s="408" t="s">
        <v>21</v>
      </c>
      <c r="I267" s="289" t="str">
        <f t="shared" ref="I267:I271" si="59">VLOOKUP(D267,'Copy of Form Responses; CCTV Infra 1'!$G$2:$I$675,3,false)</f>
        <v>#REF!</v>
      </c>
      <c r="J267" s="400" t="s">
        <v>73</v>
      </c>
      <c r="K267" s="328" t="s">
        <v>20</v>
      </c>
      <c r="L267" s="329" t="s">
        <v>95</v>
      </c>
      <c r="M267" s="291" t="s">
        <v>1657</v>
      </c>
      <c r="N267" s="401">
        <v>8000.0</v>
      </c>
      <c r="O267" s="447" t="s">
        <v>25</v>
      </c>
      <c r="P267" s="439" t="s">
        <v>651</v>
      </c>
      <c r="Q267" s="414" t="s">
        <v>1330</v>
      </c>
    </row>
    <row r="268">
      <c r="A268" s="51">
        <v>1017.0</v>
      </c>
      <c r="B268" s="51">
        <v>1017.0</v>
      </c>
      <c r="C268" s="260">
        <v>29.0</v>
      </c>
      <c r="D268" s="260">
        <f>IFERROR(__xludf.DUMMYFUNCTION("if(B268&lt;=999,if(B268&lt;=99,IF(B268&lt;=9,join(,""000"",B268),join(,""00"",B268)),join(,""0"",B268)),B268)"),1017.0)</f>
        <v>1017</v>
      </c>
      <c r="E268" s="270" t="s">
        <v>1080</v>
      </c>
      <c r="F268" s="260" t="s">
        <v>20</v>
      </c>
      <c r="G268" s="260" t="str">
        <f t="shared" si="58"/>
        <v>#REF!</v>
      </c>
      <c r="H268" s="410" t="s">
        <v>21</v>
      </c>
      <c r="I268" s="260" t="str">
        <f t="shared" si="59"/>
        <v>#REF!</v>
      </c>
      <c r="J268" s="264" t="s">
        <v>22</v>
      </c>
      <c r="K268" s="411" t="str">
        <f>vlookup(D268,'Elligible Training Institutes R'!$D$9:$L$19,9,false)</f>
        <v>#N/A</v>
      </c>
      <c r="L268" s="329"/>
      <c r="M268" s="329" t="s">
        <v>1436</v>
      </c>
      <c r="N268" s="401" t="s">
        <v>244</v>
      </c>
      <c r="O268" s="329"/>
      <c r="P268" s="329"/>
      <c r="Q268" s="412" t="s">
        <v>43</v>
      </c>
    </row>
    <row r="269" hidden="1">
      <c r="A269" s="51">
        <v>1124.0</v>
      </c>
      <c r="B269" s="51">
        <v>1124.0</v>
      </c>
      <c r="C269" s="289"/>
      <c r="D269" s="289">
        <f>IFERROR(__xludf.DUMMYFUNCTION("if(B269&lt;=999,if(B269&lt;=99,IF(B269&lt;=9,join(,""000"",B269),join(,""00"",B269)),join(,""0"",B269)),B269)"),1124.0)</f>
        <v>1124</v>
      </c>
      <c r="E269" s="326" t="s">
        <v>1158</v>
      </c>
      <c r="F269" s="325" t="s">
        <v>20</v>
      </c>
      <c r="G269" s="289" t="str">
        <f t="shared" si="58"/>
        <v>#REF!</v>
      </c>
      <c r="H269" s="408" t="s">
        <v>21</v>
      </c>
      <c r="I269" s="289" t="str">
        <f t="shared" si="59"/>
        <v>#REF!</v>
      </c>
      <c r="J269" s="413" t="s">
        <v>77</v>
      </c>
      <c r="K269" s="328" t="s">
        <v>20</v>
      </c>
      <c r="L269" s="329" t="s">
        <v>95</v>
      </c>
      <c r="M269" s="329" t="s">
        <v>1658</v>
      </c>
      <c r="N269" s="401">
        <v>5000.0</v>
      </c>
      <c r="O269" s="329" t="s">
        <v>25</v>
      </c>
      <c r="P269" s="329" t="s">
        <v>1659</v>
      </c>
      <c r="Q269" s="414" t="s">
        <v>1330</v>
      </c>
    </row>
    <row r="270" hidden="1">
      <c r="A270" s="324">
        <v>1433.0</v>
      </c>
      <c r="B270" s="415">
        <v>1433.0</v>
      </c>
      <c r="C270" s="418">
        <v>136.0</v>
      </c>
      <c r="D270" s="418">
        <f>IFERROR(__xludf.DUMMYFUNCTION("if(B270&lt;=999,if(B270&lt;=99,IF(B270&lt;=9,join(,""000"",B270),join(,""00"",B270)),join(,""0"",B270)),B270)"),1433.0)</f>
        <v>1433</v>
      </c>
      <c r="E270" s="417" t="s">
        <v>655</v>
      </c>
      <c r="F270" s="418" t="s">
        <v>20</v>
      </c>
      <c r="G270" s="418" t="str">
        <f t="shared" si="58"/>
        <v>#REF!</v>
      </c>
      <c r="H270" s="419" t="s">
        <v>21</v>
      </c>
      <c r="I270" s="418" t="str">
        <f t="shared" si="59"/>
        <v>#REF!</v>
      </c>
      <c r="J270" s="420" t="s">
        <v>117</v>
      </c>
      <c r="K270" s="421" t="s">
        <v>20</v>
      </c>
      <c r="L270" s="422" t="s">
        <v>355</v>
      </c>
      <c r="M270" s="422" t="s">
        <v>656</v>
      </c>
      <c r="N270" s="422">
        <v>16.0</v>
      </c>
      <c r="O270" s="492" t="s">
        <v>657</v>
      </c>
      <c r="P270" s="422"/>
      <c r="Q270" s="423" t="s">
        <v>1330</v>
      </c>
    </row>
    <row r="271" hidden="1">
      <c r="A271" s="51">
        <v>1042.0</v>
      </c>
      <c r="B271" s="51">
        <v>1042.0</v>
      </c>
      <c r="C271" s="298">
        <v>137.0</v>
      </c>
      <c r="D271" s="289">
        <f>IFERROR(__xludf.DUMMYFUNCTION("if(B271&lt;=999,if(B271&lt;=99,IF(B271&lt;=9,join(,""000"",B271),join(,""00"",B271)),join(,""0"",B271)),B271)"),1042.0)</f>
        <v>1042</v>
      </c>
      <c r="E271" s="301" t="s">
        <v>659</v>
      </c>
      <c r="F271" s="325" t="s">
        <v>20</v>
      </c>
      <c r="G271" s="289" t="str">
        <f t="shared" si="58"/>
        <v>#REF!</v>
      </c>
      <c r="H271" s="408" t="s">
        <v>21</v>
      </c>
      <c r="I271" s="289" t="str">
        <f t="shared" si="59"/>
        <v>#REF!</v>
      </c>
      <c r="J271" s="413" t="s">
        <v>99</v>
      </c>
      <c r="K271" s="328" t="s">
        <v>20</v>
      </c>
      <c r="L271" s="329" t="s">
        <v>355</v>
      </c>
      <c r="M271" s="329" t="s">
        <v>660</v>
      </c>
      <c r="N271" s="401">
        <v>16.0</v>
      </c>
      <c r="O271" s="329" t="s">
        <v>25</v>
      </c>
      <c r="P271" s="329" t="s">
        <v>55</v>
      </c>
      <c r="Q271" s="414" t="s">
        <v>1330</v>
      </c>
    </row>
    <row r="272" hidden="1">
      <c r="A272" s="51">
        <v>1307.0</v>
      </c>
      <c r="B272" s="51">
        <v>1307.0</v>
      </c>
      <c r="C272" s="289"/>
      <c r="D272" s="289">
        <f>IFERROR(__xludf.DUMMYFUNCTION("if(B272&lt;=999,if(B272&lt;=99,IF(B272&lt;=9,join(,""000"",B272),join(,""00"",B272)),join(,""0"",B272)),B272)"),1307.0)</f>
        <v>1307</v>
      </c>
      <c r="E272" s="326" t="s">
        <v>661</v>
      </c>
      <c r="F272" s="325" t="s">
        <v>20</v>
      </c>
      <c r="G272" s="289" t="s">
        <v>1660</v>
      </c>
      <c r="H272" s="408" t="s">
        <v>21</v>
      </c>
      <c r="I272" s="289">
        <v>9.369885078E9</v>
      </c>
      <c r="J272" s="413" t="s">
        <v>1568</v>
      </c>
      <c r="K272" s="328" t="s">
        <v>20</v>
      </c>
      <c r="L272" s="329" t="s">
        <v>1661</v>
      </c>
      <c r="M272" s="329" t="s">
        <v>1662</v>
      </c>
      <c r="N272" s="401"/>
      <c r="O272" s="329" t="s">
        <v>25</v>
      </c>
      <c r="P272" s="329" t="s">
        <v>86</v>
      </c>
      <c r="Q272" s="414" t="s">
        <v>1330</v>
      </c>
    </row>
    <row r="273" hidden="1">
      <c r="A273" s="33">
        <v>1111.0</v>
      </c>
      <c r="B273" s="34">
        <v>1111.0</v>
      </c>
      <c r="C273" s="289"/>
      <c r="D273" s="289">
        <f>IFERROR(__xludf.DUMMYFUNCTION("if(B273&lt;=999,if(B273&lt;=99,IF(B273&lt;=9,join(,""000"",B273),join(,""00"",B273)),join(,""0"",B273)),B273)"),1111.0)</f>
        <v>1111</v>
      </c>
      <c r="E273" s="297" t="s">
        <v>662</v>
      </c>
      <c r="F273" s="289" t="s">
        <v>20</v>
      </c>
      <c r="G273" s="289" t="str">
        <f t="shared" ref="G273:G285" si="60">VLOOKUP(D273,'Copy of Form Responses; CCTV Infra 1'!$G$2:$I$675,2,false)</f>
        <v>#REF!</v>
      </c>
      <c r="H273" s="399" t="s">
        <v>21</v>
      </c>
      <c r="I273" s="289" t="str">
        <f t="shared" ref="I273:I285" si="61">VLOOKUP(D273,'Copy of Form Responses; CCTV Infra 1'!$G$2:$I$675,3,false)</f>
        <v>#REF!</v>
      </c>
      <c r="J273" s="400" t="s">
        <v>101</v>
      </c>
      <c r="K273" s="290" t="s">
        <v>20</v>
      </c>
      <c r="L273" s="401" t="s">
        <v>1661</v>
      </c>
      <c r="M273" s="401" t="s">
        <v>1662</v>
      </c>
      <c r="N273" s="401">
        <v>80.0</v>
      </c>
      <c r="O273" s="401" t="s">
        <v>25</v>
      </c>
      <c r="P273" s="401" t="s">
        <v>86</v>
      </c>
      <c r="Q273" s="414" t="s">
        <v>1330</v>
      </c>
    </row>
    <row r="274" hidden="1">
      <c r="A274" s="51">
        <v>637.0</v>
      </c>
      <c r="B274" s="51">
        <v>637.0</v>
      </c>
      <c r="C274" s="289">
        <v>138.0</v>
      </c>
      <c r="D274" s="289" t="str">
        <f>IFERROR(__xludf.DUMMYFUNCTION("if(B274&lt;=999,if(B274&lt;=99,IF(B274&lt;=9,join(,""000"",B274),join(,""00"",B274)),join(,""0"",B274)),B274)"),"0637")</f>
        <v>0637</v>
      </c>
      <c r="E274" s="301" t="s">
        <v>663</v>
      </c>
      <c r="F274" s="325" t="s">
        <v>20</v>
      </c>
      <c r="G274" s="289" t="str">
        <f t="shared" si="60"/>
        <v>#REF!</v>
      </c>
      <c r="H274" s="408" t="s">
        <v>21</v>
      </c>
      <c r="I274" s="289" t="str">
        <f t="shared" si="61"/>
        <v>#REF!</v>
      </c>
      <c r="J274" s="400" t="s">
        <v>63</v>
      </c>
      <c r="K274" s="328" t="s">
        <v>20</v>
      </c>
      <c r="L274" s="329" t="s">
        <v>28</v>
      </c>
      <c r="M274" s="329" t="s">
        <v>664</v>
      </c>
      <c r="N274" s="401">
        <v>16.0</v>
      </c>
      <c r="O274" s="329" t="s">
        <v>104</v>
      </c>
      <c r="P274" s="329">
        <v>12345.0</v>
      </c>
      <c r="Q274" s="414" t="s">
        <v>1330</v>
      </c>
    </row>
    <row r="275" hidden="1">
      <c r="A275" s="51">
        <v>218.0</v>
      </c>
      <c r="B275" s="51">
        <v>218.0</v>
      </c>
      <c r="C275" s="289">
        <v>139.0</v>
      </c>
      <c r="D275" s="289" t="str">
        <f>IFERROR(__xludf.DUMMYFUNCTION("if(B275&lt;=999,if(B275&lt;=99,IF(B275&lt;=9,join(,""000"",B275),join(,""00"",B275)),join(,""0"",B275)),B275)"),"0218")</f>
        <v>0218</v>
      </c>
      <c r="E275" s="301" t="s">
        <v>665</v>
      </c>
      <c r="F275" s="325" t="s">
        <v>20</v>
      </c>
      <c r="G275" s="289" t="str">
        <f t="shared" si="60"/>
        <v>#REF!</v>
      </c>
      <c r="H275" s="408" t="s">
        <v>21</v>
      </c>
      <c r="I275" s="289" t="str">
        <f t="shared" si="61"/>
        <v>#REF!</v>
      </c>
      <c r="J275" s="400" t="s">
        <v>22</v>
      </c>
      <c r="K275" s="328" t="s">
        <v>20</v>
      </c>
      <c r="L275" s="329" t="s">
        <v>666</v>
      </c>
      <c r="M275" s="329" t="s">
        <v>667</v>
      </c>
      <c r="N275" s="401" t="e">
        <v>#N/A</v>
      </c>
      <c r="O275" s="329" t="s">
        <v>25</v>
      </c>
      <c r="P275" s="329" t="s">
        <v>86</v>
      </c>
      <c r="Q275" s="414" t="s">
        <v>1330</v>
      </c>
    </row>
    <row r="276" hidden="1">
      <c r="A276" s="51">
        <v>1148.0</v>
      </c>
      <c r="B276" s="51">
        <v>1148.0</v>
      </c>
      <c r="C276" s="298">
        <v>140.0</v>
      </c>
      <c r="D276" s="289">
        <f>IFERROR(__xludf.DUMMYFUNCTION("if(B276&lt;=999,if(B276&lt;=99,IF(B276&lt;=9,join(,""000"",B276),join(,""00"",B276)),join(,""0"",B276)),B276)"),1148.0)</f>
        <v>1148</v>
      </c>
      <c r="E276" s="301" t="s">
        <v>668</v>
      </c>
      <c r="F276" s="325" t="s">
        <v>20</v>
      </c>
      <c r="G276" s="289" t="str">
        <f t="shared" si="60"/>
        <v>#REF!</v>
      </c>
      <c r="H276" s="408" t="s">
        <v>21</v>
      </c>
      <c r="I276" s="289" t="str">
        <f t="shared" si="61"/>
        <v>#REF!</v>
      </c>
      <c r="J276" s="400" t="s">
        <v>34</v>
      </c>
      <c r="K276" s="328" t="s">
        <v>20</v>
      </c>
      <c r="L276" s="329" t="s">
        <v>666</v>
      </c>
      <c r="M276" s="329" t="s">
        <v>667</v>
      </c>
      <c r="N276" s="401" t="e">
        <v>#N/A</v>
      </c>
      <c r="O276" s="329" t="s">
        <v>25</v>
      </c>
      <c r="P276" s="329" t="s">
        <v>86</v>
      </c>
      <c r="Q276" s="414" t="s">
        <v>1330</v>
      </c>
    </row>
    <row r="277" hidden="1">
      <c r="A277" s="51">
        <v>1090.0</v>
      </c>
      <c r="B277" s="51">
        <v>1090.0</v>
      </c>
      <c r="C277" s="289">
        <v>141.0</v>
      </c>
      <c r="D277" s="289">
        <f>IFERROR(__xludf.DUMMYFUNCTION("if(B277&lt;=999,if(B277&lt;=99,IF(B277&lt;=9,join(,""000"",B277),join(,""00"",B277)),join(,""0"",B277)),B277)"),1090.0)</f>
        <v>1090</v>
      </c>
      <c r="E277" s="301" t="s">
        <v>669</v>
      </c>
      <c r="F277" s="325" t="s">
        <v>20</v>
      </c>
      <c r="G277" s="289" t="str">
        <f t="shared" si="60"/>
        <v>#REF!</v>
      </c>
      <c r="H277" s="408" t="s">
        <v>21</v>
      </c>
      <c r="I277" s="289" t="str">
        <f t="shared" si="61"/>
        <v>#REF!</v>
      </c>
      <c r="J277" s="400" t="s">
        <v>34</v>
      </c>
      <c r="K277" s="328" t="s">
        <v>20</v>
      </c>
      <c r="L277" s="329" t="s">
        <v>666</v>
      </c>
      <c r="M277" s="329" t="s">
        <v>667</v>
      </c>
      <c r="N277" s="401" t="e">
        <v>#N/A</v>
      </c>
      <c r="O277" s="329" t="s">
        <v>25</v>
      </c>
      <c r="P277" s="329" t="s">
        <v>86</v>
      </c>
      <c r="Q277" s="414" t="s">
        <v>1330</v>
      </c>
    </row>
    <row r="278" hidden="1">
      <c r="A278" s="51">
        <v>1121.0</v>
      </c>
      <c r="B278" s="51">
        <v>1121.0</v>
      </c>
      <c r="C278" s="289">
        <v>142.0</v>
      </c>
      <c r="D278" s="289">
        <f>IFERROR(__xludf.DUMMYFUNCTION("if(B278&lt;=999,if(B278&lt;=99,IF(B278&lt;=9,join(,""000"",B278),join(,""00"",B278)),join(,""0"",B278)),B278)"),1121.0)</f>
        <v>1121</v>
      </c>
      <c r="E278" s="301" t="s">
        <v>670</v>
      </c>
      <c r="F278" s="325" t="s">
        <v>20</v>
      </c>
      <c r="G278" s="289" t="str">
        <f t="shared" si="60"/>
        <v>#REF!</v>
      </c>
      <c r="H278" s="408" t="s">
        <v>21</v>
      </c>
      <c r="I278" s="289" t="str">
        <f t="shared" si="61"/>
        <v>#REF!</v>
      </c>
      <c r="J278" s="413" t="s">
        <v>73</v>
      </c>
      <c r="K278" s="328" t="s">
        <v>20</v>
      </c>
      <c r="L278" s="329" t="s">
        <v>95</v>
      </c>
      <c r="M278" s="329" t="s">
        <v>671</v>
      </c>
      <c r="N278" s="401">
        <v>80.0</v>
      </c>
      <c r="O278" s="329" t="s">
        <v>25</v>
      </c>
      <c r="P278" s="329" t="s">
        <v>55</v>
      </c>
      <c r="Q278" s="414" t="s">
        <v>1330</v>
      </c>
    </row>
    <row r="279" hidden="1">
      <c r="A279" s="33">
        <v>61.0</v>
      </c>
      <c r="B279" s="34">
        <v>61.0</v>
      </c>
      <c r="C279" s="289">
        <v>143.0</v>
      </c>
      <c r="D279" s="289" t="str">
        <f>IFERROR(__xludf.DUMMYFUNCTION("if(B279&lt;=999,if(B279&lt;=99,IF(B279&lt;=9,join(,""000"",B279),join(,""00"",B279)),join(,""0"",B279)),B279)"),"0061")</f>
        <v>0061</v>
      </c>
      <c r="E279" s="296" t="s">
        <v>672</v>
      </c>
      <c r="F279" s="325" t="s">
        <v>20</v>
      </c>
      <c r="G279" s="289" t="str">
        <f t="shared" si="60"/>
        <v>#REF!</v>
      </c>
      <c r="H279" s="399" t="s">
        <v>21</v>
      </c>
      <c r="I279" s="289" t="str">
        <f t="shared" si="61"/>
        <v>#REF!</v>
      </c>
      <c r="J279" s="400" t="s">
        <v>77</v>
      </c>
      <c r="K279" s="290" t="s">
        <v>20</v>
      </c>
      <c r="L279" s="329" t="s">
        <v>95</v>
      </c>
      <c r="M279" s="329" t="s">
        <v>673</v>
      </c>
      <c r="N279" s="401" t="e">
        <v>#N/A</v>
      </c>
      <c r="O279" s="329" t="s">
        <v>25</v>
      </c>
      <c r="P279" s="329" t="s">
        <v>674</v>
      </c>
      <c r="Q279" s="414" t="s">
        <v>1330</v>
      </c>
    </row>
    <row r="280" hidden="1">
      <c r="A280" s="469">
        <v>814.0</v>
      </c>
      <c r="B280" s="469">
        <v>814.0</v>
      </c>
      <c r="C280" s="418">
        <v>144.0</v>
      </c>
      <c r="D280" s="416" t="str">
        <f>IFERROR(__xludf.DUMMYFUNCTION("if(B280&lt;=999,if(B280&lt;=99,IF(B280&lt;=9,join(,""000"",B280),join(,""00"",B280)),join(,""0"",B280)),B280)"),"0814")</f>
        <v>0814</v>
      </c>
      <c r="E280" s="470" t="s">
        <v>675</v>
      </c>
      <c r="F280" s="416" t="s">
        <v>20</v>
      </c>
      <c r="G280" s="416" t="str">
        <f t="shared" si="60"/>
        <v>#REF!</v>
      </c>
      <c r="H280" s="416" t="s">
        <v>21</v>
      </c>
      <c r="I280" s="416" t="str">
        <f t="shared" si="61"/>
        <v>#REF!</v>
      </c>
      <c r="J280" s="471" t="s">
        <v>73</v>
      </c>
      <c r="K280" s="472" t="s">
        <v>20</v>
      </c>
      <c r="L280" s="423" t="s">
        <v>95</v>
      </c>
      <c r="M280" s="493" t="s">
        <v>676</v>
      </c>
      <c r="N280" s="423">
        <v>25001.0</v>
      </c>
      <c r="O280" s="494" t="s">
        <v>677</v>
      </c>
      <c r="P280" s="494" t="s">
        <v>678</v>
      </c>
      <c r="Q280" s="423" t="s">
        <v>1330</v>
      </c>
    </row>
    <row r="281" hidden="1">
      <c r="A281" s="469">
        <v>1192.0</v>
      </c>
      <c r="B281" s="469">
        <v>1192.0</v>
      </c>
      <c r="C281" s="416">
        <v>145.0</v>
      </c>
      <c r="D281" s="416">
        <f>IFERROR(__xludf.DUMMYFUNCTION("if(B281&lt;=999,if(B281&lt;=99,IF(B281&lt;=9,join(,""000"",B281),join(,""00"",B281)),join(,""0"",B281)),B281)"),1192.0)</f>
        <v>1192</v>
      </c>
      <c r="E281" s="470" t="s">
        <v>680</v>
      </c>
      <c r="F281" s="416" t="s">
        <v>20</v>
      </c>
      <c r="G281" s="416" t="str">
        <f t="shared" si="60"/>
        <v>#REF!</v>
      </c>
      <c r="H281" s="416" t="s">
        <v>21</v>
      </c>
      <c r="I281" s="416" t="str">
        <f t="shared" si="61"/>
        <v>#REF!</v>
      </c>
      <c r="J281" s="471" t="s">
        <v>73</v>
      </c>
      <c r="K281" s="472" t="s">
        <v>20</v>
      </c>
      <c r="L281" s="423" t="s">
        <v>95</v>
      </c>
      <c r="M281" s="493" t="s">
        <v>676</v>
      </c>
      <c r="N281" s="423">
        <v>25001.0</v>
      </c>
      <c r="O281" s="494" t="s">
        <v>677</v>
      </c>
      <c r="P281" s="494" t="s">
        <v>678</v>
      </c>
      <c r="Q281" s="423" t="s">
        <v>1330</v>
      </c>
    </row>
    <row r="282">
      <c r="A282" s="51">
        <v>1435.0</v>
      </c>
      <c r="B282" s="51">
        <v>1435.0</v>
      </c>
      <c r="C282" s="260">
        <v>30.0</v>
      </c>
      <c r="D282" s="260">
        <f>IFERROR(__xludf.DUMMYFUNCTION("if(B282&lt;=999,if(B282&lt;=99,IF(B282&lt;=9,join(,""000"",B282),join(,""00"",B282)),join(,""0"",B282)),B282)"),1435.0)</f>
        <v>1435</v>
      </c>
      <c r="E282" s="270" t="s">
        <v>1164</v>
      </c>
      <c r="F282" s="260" t="s">
        <v>20</v>
      </c>
      <c r="G282" s="260" t="str">
        <f t="shared" si="60"/>
        <v>#REF!</v>
      </c>
      <c r="H282" s="410" t="s">
        <v>21</v>
      </c>
      <c r="I282" s="260" t="str">
        <f t="shared" si="61"/>
        <v>#REF!</v>
      </c>
      <c r="J282" s="264" t="s">
        <v>60</v>
      </c>
      <c r="K282" s="411" t="str">
        <f>vlookup(D282,'Elligible Training Institutes R'!$D$9:$L$19,9,false)</f>
        <v>#N/A</v>
      </c>
      <c r="L282" s="329"/>
      <c r="M282" s="329"/>
      <c r="N282" s="401">
        <v>16.0</v>
      </c>
      <c r="O282" s="329"/>
      <c r="P282" s="329"/>
      <c r="Q282" s="412" t="s">
        <v>43</v>
      </c>
    </row>
    <row r="283" hidden="1">
      <c r="A283" s="33">
        <v>341.0</v>
      </c>
      <c r="B283" s="34">
        <v>341.0</v>
      </c>
      <c r="C283" s="289">
        <v>146.0</v>
      </c>
      <c r="D283" s="289" t="str">
        <f>IFERROR(__xludf.DUMMYFUNCTION("if(B283&lt;=999,if(B283&lt;=99,IF(B283&lt;=9,join(,""000"",B283),join(,""00"",B283)),join(,""0"",B283)),B283)"),"0341")</f>
        <v>0341</v>
      </c>
      <c r="E283" s="296" t="s">
        <v>682</v>
      </c>
      <c r="F283" s="289" t="s">
        <v>20</v>
      </c>
      <c r="G283" s="289" t="str">
        <f t="shared" si="60"/>
        <v>#REF!</v>
      </c>
      <c r="H283" s="399" t="s">
        <v>21</v>
      </c>
      <c r="I283" s="289" t="str">
        <f t="shared" si="61"/>
        <v>#REF!</v>
      </c>
      <c r="J283" s="400" t="s">
        <v>73</v>
      </c>
      <c r="K283" s="290" t="s">
        <v>20</v>
      </c>
      <c r="L283" s="401" t="s">
        <v>95</v>
      </c>
      <c r="M283" s="401" t="s">
        <v>683</v>
      </c>
      <c r="N283" s="401" t="s">
        <v>684</v>
      </c>
      <c r="O283" s="401" t="s">
        <v>25</v>
      </c>
      <c r="P283" s="401" t="s">
        <v>55</v>
      </c>
      <c r="Q283" s="414" t="s">
        <v>1330</v>
      </c>
    </row>
    <row r="284" hidden="1">
      <c r="A284" s="33">
        <v>1362.0</v>
      </c>
      <c r="B284" s="34">
        <v>1362.0</v>
      </c>
      <c r="C284" s="289">
        <v>147.0</v>
      </c>
      <c r="D284" s="289">
        <f>IFERROR(__xludf.DUMMYFUNCTION("if(B284&lt;=999,if(B284&lt;=99,IF(B284&lt;=9,join(,""000"",B284),join(,""00"",B284)),join(,""0"",B284)),B284)"),1362.0)</f>
        <v>1362</v>
      </c>
      <c r="E284" s="296" t="s">
        <v>685</v>
      </c>
      <c r="F284" s="289" t="s">
        <v>20</v>
      </c>
      <c r="G284" s="289" t="str">
        <f t="shared" si="60"/>
        <v>#REF!</v>
      </c>
      <c r="H284" s="399" t="s">
        <v>21</v>
      </c>
      <c r="I284" s="289" t="str">
        <f t="shared" si="61"/>
        <v>#REF!</v>
      </c>
      <c r="J284" s="400" t="s">
        <v>22</v>
      </c>
      <c r="K284" s="290" t="s">
        <v>20</v>
      </c>
      <c r="L284" s="401" t="s">
        <v>95</v>
      </c>
      <c r="M284" s="447" t="s">
        <v>1663</v>
      </c>
      <c r="N284" s="446" t="s">
        <v>25</v>
      </c>
      <c r="O284" s="447" t="s">
        <v>25</v>
      </c>
      <c r="P284" s="439" t="s">
        <v>687</v>
      </c>
      <c r="Q284" s="414" t="s">
        <v>1330</v>
      </c>
    </row>
    <row r="285" hidden="1">
      <c r="A285" s="51">
        <v>1015.0</v>
      </c>
      <c r="B285" s="51">
        <v>1015.0</v>
      </c>
      <c r="C285" s="289"/>
      <c r="D285" s="289">
        <f>IFERROR(__xludf.DUMMYFUNCTION("if(B285&lt;=999,if(B285&lt;=99,IF(B285&lt;=9,join(,""000"",B285),join(,""00"",B285)),join(,""0"",B285)),B285)"),1015.0)</f>
        <v>1015</v>
      </c>
      <c r="E285" s="326" t="s">
        <v>688</v>
      </c>
      <c r="F285" s="325" t="s">
        <v>20</v>
      </c>
      <c r="G285" s="289" t="str">
        <f t="shared" si="60"/>
        <v>#REF!</v>
      </c>
      <c r="H285" s="408" t="s">
        <v>21</v>
      </c>
      <c r="I285" s="289" t="str">
        <f t="shared" si="61"/>
        <v>#REF!</v>
      </c>
      <c r="J285" s="400" t="s">
        <v>22</v>
      </c>
      <c r="K285" s="328" t="s">
        <v>20</v>
      </c>
      <c r="L285" s="414" t="s">
        <v>330</v>
      </c>
      <c r="M285" s="329" t="s">
        <v>1664</v>
      </c>
      <c r="N285" s="401">
        <v>16.0</v>
      </c>
      <c r="O285" s="329" t="s">
        <v>25</v>
      </c>
      <c r="P285" s="329" t="s">
        <v>86</v>
      </c>
      <c r="Q285" s="414" t="s">
        <v>1330</v>
      </c>
    </row>
    <row r="286" hidden="1">
      <c r="A286" s="55">
        <v>683.0</v>
      </c>
      <c r="B286" s="55">
        <v>683.0</v>
      </c>
      <c r="C286" s="298">
        <v>148.0</v>
      </c>
      <c r="D286" s="298" t="str">
        <f>IFERROR(__xludf.DUMMYFUNCTION("if(B286&lt;=999,if(B286&lt;=99,IF(B286&lt;=9,join(,""000"",B286),join(,""00"",B286)),join(,""0"",B286)),B286)"),"0683")</f>
        <v>0683</v>
      </c>
      <c r="E286" s="425" t="s">
        <v>691</v>
      </c>
      <c r="F286" s="426" t="s">
        <v>20</v>
      </c>
      <c r="G286" s="298" t="s">
        <v>692</v>
      </c>
      <c r="H286" s="426" t="s">
        <v>21</v>
      </c>
      <c r="I286" s="298">
        <v>9.140451485E9</v>
      </c>
      <c r="J286" s="490" t="s">
        <v>99</v>
      </c>
      <c r="K286" s="427" t="s">
        <v>20</v>
      </c>
      <c r="L286" s="414" t="s">
        <v>330</v>
      </c>
      <c r="M286" s="414" t="s">
        <v>693</v>
      </c>
      <c r="N286" s="407" t="e">
        <v>#N/A</v>
      </c>
      <c r="O286" s="414" t="s">
        <v>25</v>
      </c>
      <c r="P286" s="414" t="s">
        <v>694</v>
      </c>
      <c r="Q286" s="414" t="s">
        <v>1330</v>
      </c>
    </row>
    <row r="287" hidden="1">
      <c r="A287" s="33">
        <v>34.0</v>
      </c>
      <c r="B287" s="34">
        <v>34.0</v>
      </c>
      <c r="C287" s="289"/>
      <c r="D287" s="289" t="str">
        <f>IFERROR(__xludf.DUMMYFUNCTION("if(B287&lt;=999,if(B287&lt;=99,IF(B287&lt;=9,join(,""000"",B287),join(,""00"",B287)),join(,""0"",B287)),B287)"),"0034")</f>
        <v>0034</v>
      </c>
      <c r="E287" s="297" t="s">
        <v>695</v>
      </c>
      <c r="F287" s="289" t="s">
        <v>20</v>
      </c>
      <c r="G287" s="289" t="str">
        <f t="shared" ref="G287:G289" si="62">VLOOKUP(D287,'Copy of Form Responses; CCTV Infra 1'!$G$2:$I$675,2,false)</f>
        <v>#REF!</v>
      </c>
      <c r="H287" s="399" t="s">
        <v>21</v>
      </c>
      <c r="I287" s="289" t="str">
        <f t="shared" ref="I287:I289" si="63">VLOOKUP(D287,'Copy of Form Responses; CCTV Infra 1'!$G$2:$I$675,3,false)</f>
        <v>#REF!</v>
      </c>
      <c r="J287" s="400" t="s">
        <v>34</v>
      </c>
      <c r="K287" s="290" t="s">
        <v>20</v>
      </c>
      <c r="L287" s="401" t="s">
        <v>23</v>
      </c>
      <c r="M287" s="401" t="s">
        <v>1665</v>
      </c>
      <c r="N287" s="401" t="s">
        <v>696</v>
      </c>
      <c r="O287" s="401" t="s">
        <v>25</v>
      </c>
      <c r="P287" s="401" t="s">
        <v>55</v>
      </c>
      <c r="Q287" s="414" t="s">
        <v>1330</v>
      </c>
    </row>
    <row r="288" hidden="1">
      <c r="A288" s="51">
        <v>914.0</v>
      </c>
      <c r="B288" s="51">
        <v>914.0</v>
      </c>
      <c r="C288" s="289">
        <v>149.0</v>
      </c>
      <c r="D288" s="289" t="str">
        <f>IFERROR(__xludf.DUMMYFUNCTION("if(B288&lt;=999,if(B288&lt;=99,IF(B288&lt;=9,join(,""000"",B288),join(,""00"",B288)),join(,""0"",B288)),B288)"),"0914")</f>
        <v>0914</v>
      </c>
      <c r="E288" s="301" t="s">
        <v>698</v>
      </c>
      <c r="F288" s="325" t="s">
        <v>20</v>
      </c>
      <c r="G288" s="289" t="str">
        <f t="shared" si="62"/>
        <v>#REF!</v>
      </c>
      <c r="H288" s="408" t="s">
        <v>21</v>
      </c>
      <c r="I288" s="289" t="str">
        <f t="shared" si="63"/>
        <v>#REF!</v>
      </c>
      <c r="J288" s="400" t="s">
        <v>22</v>
      </c>
      <c r="K288" s="328" t="s">
        <v>20</v>
      </c>
      <c r="L288" s="329" t="s">
        <v>381</v>
      </c>
      <c r="M288" s="329" t="s">
        <v>699</v>
      </c>
      <c r="N288" s="401">
        <v>82.0</v>
      </c>
      <c r="O288" s="329" t="s">
        <v>25</v>
      </c>
      <c r="P288" s="329" t="s">
        <v>55</v>
      </c>
      <c r="Q288" s="414" t="s">
        <v>1330</v>
      </c>
    </row>
    <row r="289" hidden="1">
      <c r="A289" s="51">
        <v>241.0</v>
      </c>
      <c r="B289" s="51">
        <v>241.0</v>
      </c>
      <c r="C289" s="289"/>
      <c r="D289" s="289" t="str">
        <f>IFERROR(__xludf.DUMMYFUNCTION("if(B289&lt;=999,if(B289&lt;=99,IF(B289&lt;=9,join(,""000"",B289),join(,""00"",B289)),join(,""0"",B289)),B289)"),"0241")</f>
        <v>0241</v>
      </c>
      <c r="E289" s="326" t="s">
        <v>700</v>
      </c>
      <c r="F289" s="325" t="s">
        <v>20</v>
      </c>
      <c r="G289" s="289" t="str">
        <f t="shared" si="62"/>
        <v>#REF!</v>
      </c>
      <c r="H289" s="408" t="s">
        <v>21</v>
      </c>
      <c r="I289" s="289" t="str">
        <f t="shared" si="63"/>
        <v>#REF!</v>
      </c>
      <c r="J289" s="413" t="s">
        <v>99</v>
      </c>
      <c r="K289" s="328" t="s">
        <v>20</v>
      </c>
      <c r="L289" s="329" t="s">
        <v>95</v>
      </c>
      <c r="M289" s="329" t="s">
        <v>1666</v>
      </c>
      <c r="N289" s="401">
        <v>16.0</v>
      </c>
      <c r="O289" s="329" t="s">
        <v>25</v>
      </c>
      <c r="P289" s="329" t="s">
        <v>256</v>
      </c>
      <c r="Q289" s="414" t="s">
        <v>1330</v>
      </c>
    </row>
    <row r="290" hidden="1">
      <c r="A290" s="51">
        <v>495.0</v>
      </c>
      <c r="B290" s="51">
        <v>495.0</v>
      </c>
      <c r="C290" s="289">
        <v>150.0</v>
      </c>
      <c r="D290" s="289" t="str">
        <f>IFERROR(__xludf.DUMMYFUNCTION("if(B290&lt;=999,if(B290&lt;=99,IF(B290&lt;=9,join(,""000"",B290),join(,""00"",B290)),join(,""0"",B290)),B290)"),"0495")</f>
        <v>0495</v>
      </c>
      <c r="E290" s="301" t="s">
        <v>701</v>
      </c>
      <c r="F290" s="325" t="s">
        <v>20</v>
      </c>
      <c r="G290" s="289" t="s">
        <v>702</v>
      </c>
      <c r="H290" s="408" t="s">
        <v>21</v>
      </c>
      <c r="I290" s="495">
        <v>7.007654437E9</v>
      </c>
      <c r="J290" s="400" t="s">
        <v>77</v>
      </c>
      <c r="K290" s="328" t="s">
        <v>20</v>
      </c>
      <c r="L290" s="291" t="s">
        <v>95</v>
      </c>
      <c r="M290" s="291" t="s">
        <v>703</v>
      </c>
      <c r="N290" s="401">
        <v>123.0</v>
      </c>
      <c r="O290" s="329" t="s">
        <v>25</v>
      </c>
      <c r="P290" s="329" t="s">
        <v>25</v>
      </c>
      <c r="Q290" s="414" t="s">
        <v>1330</v>
      </c>
    </row>
    <row r="291" hidden="1">
      <c r="A291" s="51">
        <v>79.0</v>
      </c>
      <c r="B291" s="51">
        <v>79.0</v>
      </c>
      <c r="C291" s="298">
        <v>151.0</v>
      </c>
      <c r="D291" s="289" t="str">
        <f>IFERROR(__xludf.DUMMYFUNCTION("if(B291&lt;=999,if(B291&lt;=99,IF(B291&lt;=9,join(,""000"",B291),join(,""00"",B291)),join(,""0"",B291)),B291)"),"0079")</f>
        <v>0079</v>
      </c>
      <c r="E291" s="301" t="s">
        <v>704</v>
      </c>
      <c r="F291" s="325" t="s">
        <v>20</v>
      </c>
      <c r="G291" s="289" t="s">
        <v>705</v>
      </c>
      <c r="H291" s="408" t="s">
        <v>21</v>
      </c>
      <c r="I291" s="289">
        <v>9.696203915E9</v>
      </c>
      <c r="J291" s="413" t="s">
        <v>99</v>
      </c>
      <c r="K291" s="328" t="s">
        <v>20</v>
      </c>
      <c r="L291" s="329" t="s">
        <v>706</v>
      </c>
      <c r="M291" s="329" t="s">
        <v>707</v>
      </c>
      <c r="N291" s="401" t="e">
        <v>#N/A</v>
      </c>
      <c r="O291" s="329" t="s">
        <v>708</v>
      </c>
      <c r="P291" s="329" t="s">
        <v>709</v>
      </c>
      <c r="Q291" s="414" t="s">
        <v>1330</v>
      </c>
    </row>
    <row r="292" hidden="1">
      <c r="A292" s="51">
        <v>1226.0</v>
      </c>
      <c r="B292" s="51">
        <v>1226.0</v>
      </c>
      <c r="C292" s="289">
        <v>152.0</v>
      </c>
      <c r="D292" s="289">
        <f>IFERROR(__xludf.DUMMYFUNCTION("if(B292&lt;=999,if(B292&lt;=99,IF(B292&lt;=9,join(,""000"",B292),join(,""00"",B292)),join(,""0"",B292)),B292)"),1226.0)</f>
        <v>1226</v>
      </c>
      <c r="E292" s="301" t="s">
        <v>710</v>
      </c>
      <c r="F292" s="325" t="s">
        <v>20</v>
      </c>
      <c r="G292" s="289" t="s">
        <v>705</v>
      </c>
      <c r="H292" s="408" t="s">
        <v>21</v>
      </c>
      <c r="I292" s="289">
        <v>9.696203915E9</v>
      </c>
      <c r="J292" s="413" t="s">
        <v>99</v>
      </c>
      <c r="K292" s="328" t="s">
        <v>20</v>
      </c>
      <c r="L292" s="329" t="s">
        <v>706</v>
      </c>
      <c r="M292" s="329" t="s">
        <v>707</v>
      </c>
      <c r="N292" s="401" t="e">
        <v>#N/A</v>
      </c>
      <c r="O292" s="329" t="s">
        <v>708</v>
      </c>
      <c r="P292" s="329" t="s">
        <v>709</v>
      </c>
      <c r="Q292" s="414" t="s">
        <v>1330</v>
      </c>
    </row>
    <row r="293" hidden="1">
      <c r="A293" s="33">
        <v>1347.0</v>
      </c>
      <c r="B293" s="34">
        <v>1347.0</v>
      </c>
      <c r="C293" s="289"/>
      <c r="D293" s="289">
        <v>1347.0</v>
      </c>
      <c r="E293" s="297" t="s">
        <v>711</v>
      </c>
      <c r="F293" s="325" t="s">
        <v>20</v>
      </c>
      <c r="G293" s="289" t="s">
        <v>1667</v>
      </c>
      <c r="H293" s="399" t="s">
        <v>21</v>
      </c>
      <c r="I293" s="289">
        <v>9.335565941E9</v>
      </c>
      <c r="J293" s="400" t="s">
        <v>22</v>
      </c>
      <c r="K293" s="290" t="s">
        <v>20</v>
      </c>
      <c r="L293" s="329" t="s">
        <v>1668</v>
      </c>
      <c r="M293" s="496" t="s">
        <v>1669</v>
      </c>
      <c r="N293" s="401" t="e">
        <v>#N/A</v>
      </c>
      <c r="O293" s="329" t="s">
        <v>1670</v>
      </c>
      <c r="P293" s="329" t="s">
        <v>1671</v>
      </c>
      <c r="Q293" s="414" t="s">
        <v>1330</v>
      </c>
    </row>
    <row r="294" hidden="1">
      <c r="A294" s="51">
        <v>759.0</v>
      </c>
      <c r="B294" s="51">
        <v>759.0</v>
      </c>
      <c r="C294" s="289"/>
      <c r="D294" s="289" t="str">
        <f>IFERROR(__xludf.DUMMYFUNCTION("if(B294&lt;=999,if(B294&lt;=99,IF(B294&lt;=9,join(,""000"",B294),join(,""00"",B294)),join(,""0"",B294)),B294)"),"0759")</f>
        <v>0759</v>
      </c>
      <c r="E294" s="326" t="s">
        <v>713</v>
      </c>
      <c r="F294" s="325" t="s">
        <v>20</v>
      </c>
      <c r="G294" s="289" t="str">
        <f t="shared" ref="G294:G301" si="64">VLOOKUP(D294,'Copy of Form Responses; CCTV Infra 1'!$G$2:$I$675,2,false)</f>
        <v>#REF!</v>
      </c>
      <c r="H294" s="408" t="s">
        <v>21</v>
      </c>
      <c r="I294" s="289" t="str">
        <f t="shared" ref="I294:I301" si="65">VLOOKUP(D294,'Copy of Form Responses; CCTV Infra 1'!$G$2:$I$675,3,false)</f>
        <v>#REF!</v>
      </c>
      <c r="J294" s="400" t="s">
        <v>22</v>
      </c>
      <c r="K294" s="328" t="s">
        <v>20</v>
      </c>
      <c r="L294" s="329" t="s">
        <v>1668</v>
      </c>
      <c r="M294" s="496" t="s">
        <v>1669</v>
      </c>
      <c r="N294" s="401">
        <v>37777.0</v>
      </c>
      <c r="O294" s="329" t="s">
        <v>1670</v>
      </c>
      <c r="P294" s="329" t="s">
        <v>1671</v>
      </c>
      <c r="Q294" s="414" t="s">
        <v>1330</v>
      </c>
    </row>
    <row r="295" hidden="1">
      <c r="A295" s="33">
        <v>63.0</v>
      </c>
      <c r="B295" s="34">
        <v>63.0</v>
      </c>
      <c r="C295" s="289">
        <v>153.0</v>
      </c>
      <c r="D295" s="289" t="str">
        <f>IFERROR(__xludf.DUMMYFUNCTION("if(B295&lt;=999,if(B295&lt;=99,IF(B295&lt;=9,join(,""000"",B295),join(,""00"",B295)),join(,""0"",B295)),B295)"),"0063")</f>
        <v>0063</v>
      </c>
      <c r="E295" s="296" t="s">
        <v>715</v>
      </c>
      <c r="F295" s="289" t="s">
        <v>20</v>
      </c>
      <c r="G295" s="289" t="str">
        <f t="shared" si="64"/>
        <v>#REF!</v>
      </c>
      <c r="H295" s="399" t="s">
        <v>21</v>
      </c>
      <c r="I295" s="289" t="str">
        <f t="shared" si="65"/>
        <v>#REF!</v>
      </c>
      <c r="J295" s="400" t="s">
        <v>77</v>
      </c>
      <c r="K295" s="290" t="s">
        <v>20</v>
      </c>
      <c r="L295" s="401" t="s">
        <v>137</v>
      </c>
      <c r="M295" s="401" t="s">
        <v>716</v>
      </c>
      <c r="N295" s="401" t="s">
        <v>717</v>
      </c>
      <c r="O295" s="401" t="s">
        <v>25</v>
      </c>
      <c r="P295" s="401" t="s">
        <v>55</v>
      </c>
      <c r="Q295" s="414" t="s">
        <v>1330</v>
      </c>
    </row>
    <row r="296">
      <c r="A296" s="33">
        <v>1195.0</v>
      </c>
      <c r="B296" s="34">
        <v>1195.0</v>
      </c>
      <c r="C296" s="260">
        <v>31.0</v>
      </c>
      <c r="D296" s="261">
        <f>IFERROR(__xludf.DUMMYFUNCTION("if(B296&lt;=999,if(B296&lt;=99,IF(B296&lt;=9,join(,""000"",B296),join(,""00"",B296)),join(,""0"",B296)),B296)"),1195.0)</f>
        <v>1195</v>
      </c>
      <c r="E296" s="385" t="s">
        <v>1169</v>
      </c>
      <c r="F296" s="386" t="s">
        <v>20</v>
      </c>
      <c r="G296" s="386" t="str">
        <f t="shared" si="64"/>
        <v>#REF!</v>
      </c>
      <c r="H296" s="497" t="s">
        <v>21</v>
      </c>
      <c r="I296" s="386" t="str">
        <f t="shared" si="65"/>
        <v>#REF!</v>
      </c>
      <c r="J296" s="387" t="s">
        <v>77</v>
      </c>
      <c r="K296" s="411" t="str">
        <f>vlookup(D296,'Elligible Training Institutes R'!$D$9:$L$19,9,false)</f>
        <v>#N/A</v>
      </c>
      <c r="L296" s="498"/>
      <c r="M296" s="498"/>
      <c r="N296" s="498" t="s">
        <v>453</v>
      </c>
      <c r="O296" s="498"/>
      <c r="P296" s="498"/>
      <c r="Q296" s="441" t="s">
        <v>43</v>
      </c>
    </row>
    <row r="297" hidden="1">
      <c r="A297" s="51">
        <v>1047.0</v>
      </c>
      <c r="B297" s="51">
        <v>1047.0</v>
      </c>
      <c r="C297" s="289"/>
      <c r="D297" s="289">
        <f>IFERROR(__xludf.DUMMYFUNCTION("if(B297&lt;=999,if(B297&lt;=99,IF(B297&lt;=9,join(,""000"",B297),join(,""00"",B297)),join(,""0"",B297)),B297)"),1047.0)</f>
        <v>1047</v>
      </c>
      <c r="E297" s="326" t="s">
        <v>719</v>
      </c>
      <c r="F297" s="325" t="s">
        <v>20</v>
      </c>
      <c r="G297" s="289" t="str">
        <f t="shared" si="64"/>
        <v>#REF!</v>
      </c>
      <c r="H297" s="408" t="s">
        <v>21</v>
      </c>
      <c r="I297" s="289" t="str">
        <f t="shared" si="65"/>
        <v>#REF!</v>
      </c>
      <c r="J297" s="400" t="s">
        <v>22</v>
      </c>
      <c r="K297" s="328" t="s">
        <v>20</v>
      </c>
      <c r="L297" s="329" t="s">
        <v>360</v>
      </c>
      <c r="M297" s="329" t="s">
        <v>1672</v>
      </c>
      <c r="N297" s="401"/>
      <c r="O297" s="329" t="s">
        <v>1673</v>
      </c>
      <c r="P297" s="329" t="s">
        <v>1674</v>
      </c>
      <c r="Q297" s="414" t="s">
        <v>1330</v>
      </c>
    </row>
    <row r="298" hidden="1">
      <c r="A298" s="51">
        <v>247.0</v>
      </c>
      <c r="B298" s="51">
        <v>247.0</v>
      </c>
      <c r="C298" s="298">
        <v>154.0</v>
      </c>
      <c r="D298" s="289" t="str">
        <f>IFERROR(__xludf.DUMMYFUNCTION("if(B298&lt;=999,if(B298&lt;=99,IF(B298&lt;=9,join(,""000"",B298),join(,""00"",B298)),join(,""0"",B298)),B298)"),"0247")</f>
        <v>0247</v>
      </c>
      <c r="E298" s="301" t="s">
        <v>721</v>
      </c>
      <c r="F298" s="325" t="s">
        <v>20</v>
      </c>
      <c r="G298" s="289" t="str">
        <f t="shared" si="64"/>
        <v>#REF!</v>
      </c>
      <c r="H298" s="408" t="s">
        <v>21</v>
      </c>
      <c r="I298" s="289" t="str">
        <f t="shared" si="65"/>
        <v>#REF!</v>
      </c>
      <c r="J298" s="413" t="s">
        <v>77</v>
      </c>
      <c r="K298" s="328" t="s">
        <v>20</v>
      </c>
      <c r="L298" s="329" t="s">
        <v>1223</v>
      </c>
      <c r="M298" s="329" t="s">
        <v>1675</v>
      </c>
      <c r="N298" s="401" t="s">
        <v>722</v>
      </c>
      <c r="O298" s="329" t="s">
        <v>1676</v>
      </c>
      <c r="P298" s="329" t="s">
        <v>1677</v>
      </c>
      <c r="Q298" s="414" t="s">
        <v>1330</v>
      </c>
    </row>
    <row r="299" hidden="1">
      <c r="A299" s="51">
        <v>75.0</v>
      </c>
      <c r="B299" s="51">
        <v>75.0</v>
      </c>
      <c r="C299" s="289">
        <v>155.0</v>
      </c>
      <c r="D299" s="289" t="str">
        <f>IFERROR(__xludf.DUMMYFUNCTION("if(B299&lt;=999,if(B299&lt;=99,IF(B299&lt;=9,join(,""000"",B299),join(,""00"",B299)),join(,""0"",B299)),B299)"),"0075")</f>
        <v>0075</v>
      </c>
      <c r="E299" s="301" t="s">
        <v>723</v>
      </c>
      <c r="F299" s="325" t="s">
        <v>20</v>
      </c>
      <c r="G299" s="289" t="str">
        <f t="shared" si="64"/>
        <v>#REF!</v>
      </c>
      <c r="H299" s="408" t="s">
        <v>21</v>
      </c>
      <c r="I299" s="289" t="str">
        <f t="shared" si="65"/>
        <v>#REF!</v>
      </c>
      <c r="J299" s="413" t="s">
        <v>117</v>
      </c>
      <c r="K299" s="328" t="s">
        <v>20</v>
      </c>
      <c r="L299" s="499" t="s">
        <v>95</v>
      </c>
      <c r="M299" s="329" t="s">
        <v>724</v>
      </c>
      <c r="N299" s="401"/>
      <c r="O299" s="329" t="s">
        <v>25</v>
      </c>
      <c r="P299" s="329" t="s">
        <v>55</v>
      </c>
      <c r="Q299" s="414" t="s">
        <v>1330</v>
      </c>
    </row>
    <row r="300" hidden="1">
      <c r="A300" s="324">
        <v>312.0</v>
      </c>
      <c r="B300" s="324">
        <v>312.0</v>
      </c>
      <c r="C300" s="418">
        <v>156.0</v>
      </c>
      <c r="D300" s="418" t="str">
        <f>IFERROR(__xludf.DUMMYFUNCTION("if(B300&lt;=999,if(B300&lt;=99,IF(B300&lt;=9,join(,""000"",B300),join(,""00"",B300)),join(,""0"",B300)),B300)"),"0312")</f>
        <v>0312</v>
      </c>
      <c r="E300" s="417" t="s">
        <v>725</v>
      </c>
      <c r="F300" s="418" t="s">
        <v>20</v>
      </c>
      <c r="G300" s="418" t="str">
        <f t="shared" si="64"/>
        <v>#REF!</v>
      </c>
      <c r="H300" s="419" t="s">
        <v>21</v>
      </c>
      <c r="I300" s="418" t="str">
        <f t="shared" si="65"/>
        <v>#REF!</v>
      </c>
      <c r="J300" s="420" t="s">
        <v>117</v>
      </c>
      <c r="K300" s="421" t="s">
        <v>20</v>
      </c>
      <c r="L300" s="492" t="s">
        <v>95</v>
      </c>
      <c r="M300" s="422" t="s">
        <v>724</v>
      </c>
      <c r="N300" s="422"/>
      <c r="O300" s="422" t="s">
        <v>25</v>
      </c>
      <c r="P300" s="422" t="s">
        <v>55</v>
      </c>
      <c r="Q300" s="423" t="s">
        <v>1330</v>
      </c>
    </row>
    <row r="301" hidden="1">
      <c r="A301" s="55">
        <v>1312.0</v>
      </c>
      <c r="B301" s="55">
        <v>1312.0</v>
      </c>
      <c r="C301" s="298"/>
      <c r="D301" s="298">
        <f>IFERROR(__xludf.DUMMYFUNCTION("if(B301&lt;=999,if(B301&lt;=99,IF(B301&lt;=9,join(,""000"",B301),join(,""00"",B301)),join(,""0"",B301)),B301)"),1312.0)</f>
        <v>1312</v>
      </c>
      <c r="E301" s="457" t="s">
        <v>726</v>
      </c>
      <c r="F301" s="426" t="s">
        <v>20</v>
      </c>
      <c r="G301" s="298" t="str">
        <f t="shared" si="64"/>
        <v>#REF!</v>
      </c>
      <c r="H301" s="426" t="s">
        <v>21</v>
      </c>
      <c r="I301" s="298" t="str">
        <f t="shared" si="65"/>
        <v>#REF!</v>
      </c>
      <c r="J301" s="405" t="s">
        <v>22</v>
      </c>
      <c r="K301" s="427" t="s">
        <v>20</v>
      </c>
      <c r="L301" s="414" t="s">
        <v>95</v>
      </c>
      <c r="M301" s="500" t="s">
        <v>1678</v>
      </c>
      <c r="N301" s="407">
        <v>800.0</v>
      </c>
      <c r="O301" s="447" t="s">
        <v>25</v>
      </c>
      <c r="P301" s="447" t="s">
        <v>1679</v>
      </c>
      <c r="Q301" s="414" t="s">
        <v>1330</v>
      </c>
    </row>
    <row r="302" hidden="1">
      <c r="A302" s="33">
        <v>809.0</v>
      </c>
      <c r="B302" s="34">
        <v>809.0</v>
      </c>
      <c r="C302" s="289"/>
      <c r="D302" s="289" t="str">
        <f>IFERROR(__xludf.DUMMYFUNCTION("if(B302&lt;=999,if(B302&lt;=99,IF(B302&lt;=9,join(,""000"",B302),join(,""00"",B302)),join(,""0"",B302)),B302)"),"0809")</f>
        <v>0809</v>
      </c>
      <c r="E302" s="297" t="s">
        <v>1179</v>
      </c>
      <c r="F302" s="289" t="s">
        <v>20</v>
      </c>
      <c r="G302" s="289" t="s">
        <v>1680</v>
      </c>
      <c r="H302" s="399" t="s">
        <v>21</v>
      </c>
      <c r="I302" s="289">
        <v>9.21948623E8</v>
      </c>
      <c r="J302" s="400" t="s">
        <v>63</v>
      </c>
      <c r="K302" s="290" t="s">
        <v>20</v>
      </c>
      <c r="L302" s="401" t="s">
        <v>1242</v>
      </c>
      <c r="M302" s="401" t="s">
        <v>1681</v>
      </c>
      <c r="N302" s="401" t="e">
        <v>#N/A</v>
      </c>
      <c r="O302" s="401" t="s">
        <v>104</v>
      </c>
      <c r="P302" s="401" t="s">
        <v>256</v>
      </c>
      <c r="Q302" s="414" t="s">
        <v>1330</v>
      </c>
    </row>
    <row r="303">
      <c r="A303" s="51">
        <v>821.0</v>
      </c>
      <c r="B303" s="51">
        <v>821.0</v>
      </c>
      <c r="C303" s="260">
        <v>32.0</v>
      </c>
      <c r="D303" s="260" t="str">
        <f>IFERROR(__xludf.DUMMYFUNCTION("if(B303&lt;=999,if(B303&lt;=99,IF(B303&lt;=9,join(,""000"",B303),join(,""00"",B303)),join(,""0"",B303)),B303)"),"0821")</f>
        <v>0821</v>
      </c>
      <c r="E303" s="270" t="s">
        <v>732</v>
      </c>
      <c r="F303" s="260" t="s">
        <v>35</v>
      </c>
      <c r="G303" s="260" t="str">
        <f t="shared" ref="G303:G312" si="66">VLOOKUP(D303,'Copy of Form Responses; CCTV Infra 1'!$G$2:$I$675,2,false)</f>
        <v>#REF!</v>
      </c>
      <c r="H303" s="410" t="s">
        <v>21</v>
      </c>
      <c r="I303" s="260" t="str">
        <f t="shared" ref="I303:I312" si="67">VLOOKUP(D303,'Copy of Form Responses; CCTV Infra 1'!$G$2:$I$675,3,false)</f>
        <v>#REF!</v>
      </c>
      <c r="J303" s="264"/>
      <c r="K303" s="411" t="str">
        <f>vlookup(D303,'Elligible Training Institutes R'!$D$9:$L$19,9,false)</f>
        <v>#N/A</v>
      </c>
      <c r="L303" s="329"/>
      <c r="M303" s="329"/>
      <c r="N303" s="401" t="e">
        <v>#N/A</v>
      </c>
      <c r="O303" s="329"/>
      <c r="P303" s="329"/>
      <c r="Q303" s="412" t="s">
        <v>1423</v>
      </c>
    </row>
    <row r="304" hidden="1">
      <c r="A304" s="33">
        <v>1300.0</v>
      </c>
      <c r="B304" s="34">
        <v>1300.0</v>
      </c>
      <c r="C304" s="289"/>
      <c r="D304" s="289">
        <f>IFERROR(__xludf.DUMMYFUNCTION("if(B304&lt;=999,if(B304&lt;=99,IF(B304&lt;=9,join(,""000"",B304),join(,""00"",B304)),join(,""0"",B304)),B304)"),1300.0)</f>
        <v>1300</v>
      </c>
      <c r="E304" s="297" t="s">
        <v>733</v>
      </c>
      <c r="F304" s="289" t="s">
        <v>20</v>
      </c>
      <c r="G304" s="289" t="str">
        <f t="shared" si="66"/>
        <v>#REF!</v>
      </c>
      <c r="H304" s="399" t="s">
        <v>21</v>
      </c>
      <c r="I304" s="289" t="str">
        <f t="shared" si="67"/>
        <v>#REF!</v>
      </c>
      <c r="J304" s="400" t="s">
        <v>22</v>
      </c>
      <c r="K304" s="290" t="s">
        <v>20</v>
      </c>
      <c r="L304" s="329" t="s">
        <v>95</v>
      </c>
      <c r="M304" s="291" t="s">
        <v>734</v>
      </c>
      <c r="N304" s="401"/>
      <c r="O304" s="447" t="s">
        <v>1682</v>
      </c>
      <c r="P304" s="447" t="s">
        <v>1683</v>
      </c>
      <c r="Q304" s="414" t="s">
        <v>1330</v>
      </c>
    </row>
    <row r="305">
      <c r="A305" s="51">
        <v>1219.0</v>
      </c>
      <c r="B305" s="51">
        <v>1219.0</v>
      </c>
      <c r="C305" s="260">
        <v>33.0</v>
      </c>
      <c r="D305" s="260">
        <f>IFERROR(__xludf.DUMMYFUNCTION("if(B305&lt;=999,if(B305&lt;=99,IF(B305&lt;=9,join(,""000"",B305),join(,""00"",B305)),join(,""0"",B305)),B305)"),1219.0)</f>
        <v>1219</v>
      </c>
      <c r="E305" s="270" t="s">
        <v>736</v>
      </c>
      <c r="F305" s="260" t="s">
        <v>20</v>
      </c>
      <c r="G305" s="260" t="str">
        <f t="shared" si="66"/>
        <v>#REF!</v>
      </c>
      <c r="H305" s="410" t="s">
        <v>21</v>
      </c>
      <c r="I305" s="260" t="str">
        <f t="shared" si="67"/>
        <v>#REF!</v>
      </c>
      <c r="J305" s="264"/>
      <c r="K305" s="411" t="str">
        <f>vlookup(D305,'Elligible Training Institutes R'!$D$9:$L$19,9,false)</f>
        <v>#N/A</v>
      </c>
      <c r="L305" s="329"/>
      <c r="M305" s="329"/>
      <c r="N305" s="401" t="e">
        <v>#N/A</v>
      </c>
      <c r="O305" s="329"/>
      <c r="P305" s="329"/>
      <c r="Q305" s="412" t="s">
        <v>43</v>
      </c>
    </row>
    <row r="306" hidden="1">
      <c r="A306" s="51">
        <v>1139.0</v>
      </c>
      <c r="B306" s="51">
        <v>1139.0</v>
      </c>
      <c r="C306" s="289">
        <v>158.0</v>
      </c>
      <c r="D306" s="289">
        <f>IFERROR(__xludf.DUMMYFUNCTION("if(B306&lt;=999,if(B306&lt;=99,IF(B306&lt;=9,join(,""000"",B306),join(,""00"",B306)),join(,""0"",B306)),B306)"),1139.0)</f>
        <v>1139</v>
      </c>
      <c r="E306" s="301" t="s">
        <v>737</v>
      </c>
      <c r="F306" s="325" t="s">
        <v>20</v>
      </c>
      <c r="G306" s="289" t="str">
        <f t="shared" si="66"/>
        <v>#REF!</v>
      </c>
      <c r="H306" s="408" t="s">
        <v>21</v>
      </c>
      <c r="I306" s="289" t="str">
        <f t="shared" si="67"/>
        <v>#REF!</v>
      </c>
      <c r="J306" s="400" t="s">
        <v>22</v>
      </c>
      <c r="K306" s="328" t="s">
        <v>20</v>
      </c>
      <c r="L306" s="438" t="s">
        <v>360</v>
      </c>
      <c r="M306" s="438" t="s">
        <v>738</v>
      </c>
      <c r="N306" s="401">
        <v>2501.0</v>
      </c>
      <c r="O306" s="438" t="s">
        <v>25</v>
      </c>
      <c r="P306" s="438" t="s">
        <v>86</v>
      </c>
      <c r="Q306" s="414" t="s">
        <v>1330</v>
      </c>
    </row>
    <row r="307" hidden="1">
      <c r="A307" s="45">
        <v>784.0</v>
      </c>
      <c r="B307" s="45">
        <v>784.0</v>
      </c>
      <c r="C307" s="298"/>
      <c r="D307" s="298" t="str">
        <f>IFERROR(__xludf.DUMMYFUNCTION("if(B307&lt;=999,if(B307&lt;=99,IF(B307&lt;=9,join(,""000"",B307),join(,""00"",B307)),join(,""0"",B307)),B307)"),"0784")</f>
        <v>0784</v>
      </c>
      <c r="E307" s="302" t="s">
        <v>739</v>
      </c>
      <c r="F307" s="298" t="s">
        <v>20</v>
      </c>
      <c r="G307" s="298" t="str">
        <f t="shared" si="66"/>
        <v>#REF!</v>
      </c>
      <c r="H307" s="298" t="s">
        <v>21</v>
      </c>
      <c r="I307" s="298" t="str">
        <f t="shared" si="67"/>
        <v>#REF!</v>
      </c>
      <c r="J307" s="405" t="s">
        <v>101</v>
      </c>
      <c r="K307" s="406" t="s">
        <v>20</v>
      </c>
      <c r="L307" s="329" t="s">
        <v>95</v>
      </c>
      <c r="M307" s="407" t="s">
        <v>740</v>
      </c>
      <c r="N307" s="407">
        <v>8025001.0</v>
      </c>
      <c r="O307" s="407" t="s">
        <v>25</v>
      </c>
      <c r="P307" s="407" t="s">
        <v>86</v>
      </c>
      <c r="Q307" s="414" t="s">
        <v>1330</v>
      </c>
    </row>
    <row r="308" hidden="1">
      <c r="A308" s="33">
        <v>1306.0</v>
      </c>
      <c r="B308" s="34">
        <v>1306.0</v>
      </c>
      <c r="C308" s="289">
        <v>159.0</v>
      </c>
      <c r="D308" s="289">
        <f>IFERROR(__xludf.DUMMYFUNCTION("if(B308&lt;=999,if(B308&lt;=99,IF(B308&lt;=9,join(,""000"",B308),join(,""00"",B308)),join(,""0"",B308)),B308)"),1306.0)</f>
        <v>1306</v>
      </c>
      <c r="E308" s="296" t="s">
        <v>741</v>
      </c>
      <c r="F308" s="289" t="s">
        <v>20</v>
      </c>
      <c r="G308" s="289" t="str">
        <f t="shared" si="66"/>
        <v>#REF!</v>
      </c>
      <c r="H308" s="399" t="s">
        <v>21</v>
      </c>
      <c r="I308" s="289" t="str">
        <f t="shared" si="67"/>
        <v>#REF!</v>
      </c>
      <c r="J308" s="400" t="s">
        <v>73</v>
      </c>
      <c r="K308" s="290" t="s">
        <v>20</v>
      </c>
      <c r="L308" s="329" t="s">
        <v>95</v>
      </c>
      <c r="M308" s="501" t="s">
        <v>742</v>
      </c>
      <c r="N308" s="401">
        <v>16.0</v>
      </c>
      <c r="O308" s="329" t="s">
        <v>25</v>
      </c>
      <c r="P308" s="329" t="s">
        <v>743</v>
      </c>
      <c r="Q308" s="414" t="s">
        <v>1330</v>
      </c>
    </row>
    <row r="309" hidden="1">
      <c r="A309" s="324">
        <v>1218.0</v>
      </c>
      <c r="B309" s="324">
        <v>1218.0</v>
      </c>
      <c r="C309" s="416">
        <v>160.0</v>
      </c>
      <c r="D309" s="418">
        <f>IFERROR(__xludf.DUMMYFUNCTION("if(B309&lt;=999,if(B309&lt;=99,IF(B309&lt;=9,join(,""000"",B309),join(,""00"",B309)),join(,""0"",B309)),B309)"),1218.0)</f>
        <v>1218</v>
      </c>
      <c r="E309" s="417" t="s">
        <v>744</v>
      </c>
      <c r="F309" s="418" t="s">
        <v>20</v>
      </c>
      <c r="G309" s="418" t="str">
        <f t="shared" si="66"/>
        <v>#REF!</v>
      </c>
      <c r="H309" s="419" t="s">
        <v>21</v>
      </c>
      <c r="I309" s="418" t="str">
        <f t="shared" si="67"/>
        <v>#REF!</v>
      </c>
      <c r="J309" s="420" t="s">
        <v>745</v>
      </c>
      <c r="K309" s="421" t="s">
        <v>20</v>
      </c>
      <c r="L309" s="422" t="s">
        <v>95</v>
      </c>
      <c r="M309" s="476" t="s">
        <v>742</v>
      </c>
      <c r="N309" s="422">
        <v>16.0</v>
      </c>
      <c r="O309" s="422" t="s">
        <v>25</v>
      </c>
      <c r="P309" s="422" t="s">
        <v>743</v>
      </c>
      <c r="Q309" s="423" t="s">
        <v>1330</v>
      </c>
    </row>
    <row r="310" ht="18.75" hidden="1" customHeight="1">
      <c r="A310" s="51">
        <v>16.0</v>
      </c>
      <c r="B310" s="51">
        <v>16.0</v>
      </c>
      <c r="C310" s="289">
        <v>161.0</v>
      </c>
      <c r="D310" s="289" t="str">
        <f>IFERROR(__xludf.DUMMYFUNCTION("if(B310&lt;=999,if(B310&lt;=99,IF(B310&lt;=9,join(,""000"",B310),join(,""00"",B310)),join(,""0"",B310)),B310)"),"0016")</f>
        <v>0016</v>
      </c>
      <c r="E310" s="301" t="s">
        <v>746</v>
      </c>
      <c r="F310" s="325" t="s">
        <v>20</v>
      </c>
      <c r="G310" s="289" t="str">
        <f t="shared" si="66"/>
        <v>#REF!</v>
      </c>
      <c r="H310" s="408" t="s">
        <v>21</v>
      </c>
      <c r="I310" s="289" t="str">
        <f t="shared" si="67"/>
        <v>#REF!</v>
      </c>
      <c r="J310" s="400" t="s">
        <v>99</v>
      </c>
      <c r="K310" s="328" t="s">
        <v>20</v>
      </c>
      <c r="L310" s="291" t="s">
        <v>747</v>
      </c>
      <c r="M310" s="439" t="s">
        <v>748</v>
      </c>
      <c r="N310" s="401" t="s">
        <v>749</v>
      </c>
      <c r="O310" s="439" t="s">
        <v>25</v>
      </c>
      <c r="P310" s="439">
        <v>12345.0</v>
      </c>
      <c r="Q310" s="414" t="s">
        <v>1330</v>
      </c>
    </row>
    <row r="311" ht="19.5" hidden="1" customHeight="1">
      <c r="A311" s="51">
        <v>1646.0</v>
      </c>
      <c r="B311" s="51">
        <v>1646.0</v>
      </c>
      <c r="C311" s="289">
        <v>162.0</v>
      </c>
      <c r="D311" s="289">
        <f>IFERROR(__xludf.DUMMYFUNCTION("if(B311&lt;=999,if(B311&lt;=99,IF(B311&lt;=9,join(,""000"",B311),join(,""00"",B311)),join(,""0"",B311)),B311)"),1646.0)</f>
        <v>1646</v>
      </c>
      <c r="E311" s="301" t="s">
        <v>750</v>
      </c>
      <c r="F311" s="325" t="s">
        <v>20</v>
      </c>
      <c r="G311" s="289" t="str">
        <f t="shared" si="66"/>
        <v>#REF!</v>
      </c>
      <c r="H311" s="408" t="s">
        <v>21</v>
      </c>
      <c r="I311" s="289" t="str">
        <f t="shared" si="67"/>
        <v>#REF!</v>
      </c>
      <c r="J311" s="400" t="s">
        <v>22</v>
      </c>
      <c r="K311" s="328" t="s">
        <v>20</v>
      </c>
      <c r="L311" s="291" t="s">
        <v>751</v>
      </c>
      <c r="M311" s="291" t="s">
        <v>122</v>
      </c>
      <c r="N311" s="401" t="s">
        <v>752</v>
      </c>
      <c r="O311" s="439" t="s">
        <v>25</v>
      </c>
      <c r="P311" s="439">
        <v>12345.0</v>
      </c>
      <c r="Q311" s="414" t="s">
        <v>1</v>
      </c>
    </row>
    <row r="312" hidden="1">
      <c r="A312" s="51">
        <v>1138.0</v>
      </c>
      <c r="B312" s="51">
        <v>1138.0</v>
      </c>
      <c r="C312" s="289"/>
      <c r="D312" s="289">
        <f>IFERROR(__xludf.DUMMYFUNCTION("if(B312&lt;=999,if(B312&lt;=99,IF(B312&lt;=9,join(,""000"",B312),join(,""00"",B312)),join(,""0"",B312)),B312)"),1138.0)</f>
        <v>1138</v>
      </c>
      <c r="E312" s="326" t="s">
        <v>753</v>
      </c>
      <c r="F312" s="325" t="s">
        <v>20</v>
      </c>
      <c r="G312" s="289" t="str">
        <f t="shared" si="66"/>
        <v>#REF!</v>
      </c>
      <c r="H312" s="408" t="s">
        <v>21</v>
      </c>
      <c r="I312" s="289" t="str">
        <f t="shared" si="67"/>
        <v>#REF!</v>
      </c>
      <c r="J312" s="400" t="s">
        <v>22</v>
      </c>
      <c r="K312" s="328" t="s">
        <v>20</v>
      </c>
      <c r="L312" s="438" t="s">
        <v>48</v>
      </c>
      <c r="M312" s="438" t="s">
        <v>1684</v>
      </c>
      <c r="N312" s="401"/>
      <c r="O312" s="438" t="s">
        <v>25</v>
      </c>
      <c r="P312" s="438" t="s">
        <v>1685</v>
      </c>
      <c r="Q312" s="414" t="s">
        <v>1330</v>
      </c>
    </row>
    <row r="313" hidden="1">
      <c r="A313" s="51">
        <v>1109.0</v>
      </c>
      <c r="B313" s="51">
        <v>1109.0</v>
      </c>
      <c r="C313" s="289"/>
      <c r="D313" s="289">
        <f>IFERROR(__xludf.DUMMYFUNCTION("if(B313&lt;=999,if(B313&lt;=99,IF(B313&lt;=9,join(,""000"",B313),join(,""00"",B313)),join(,""0"",B313)),B313)"),1109.0)</f>
        <v>1109</v>
      </c>
      <c r="E313" s="326" t="s">
        <v>755</v>
      </c>
      <c r="F313" s="325" t="s">
        <v>20</v>
      </c>
      <c r="G313" s="289" t="s">
        <v>1686</v>
      </c>
      <c r="H313" s="399" t="s">
        <v>21</v>
      </c>
      <c r="I313" s="289">
        <v>9.335079356E9</v>
      </c>
      <c r="J313" s="400"/>
      <c r="K313" s="290" t="s">
        <v>20</v>
      </c>
      <c r="L313" s="401" t="s">
        <v>330</v>
      </c>
      <c r="M313" s="438" t="s">
        <v>1687</v>
      </c>
      <c r="N313" s="401">
        <v>80.0</v>
      </c>
      <c r="O313" s="438" t="s">
        <v>25</v>
      </c>
      <c r="P313" s="438" t="s">
        <v>55</v>
      </c>
      <c r="Q313" s="414" t="s">
        <v>1330</v>
      </c>
    </row>
    <row r="314" hidden="1">
      <c r="A314" s="324">
        <v>1016.0</v>
      </c>
      <c r="B314" s="415">
        <v>1016.0</v>
      </c>
      <c r="C314" s="418"/>
      <c r="D314" s="418">
        <f>IFERROR(__xludf.DUMMYFUNCTION("if(B314&lt;=999,if(B314&lt;=99,IF(B314&lt;=9,join(,""000"",B314),join(,""00"",B314)),join(,""0"",B314)),B314)"),1016.0)</f>
        <v>1016</v>
      </c>
      <c r="E314" s="442" t="s">
        <v>756</v>
      </c>
      <c r="F314" s="418" t="s">
        <v>20</v>
      </c>
      <c r="G314" s="418" t="s">
        <v>1686</v>
      </c>
      <c r="H314" s="419" t="s">
        <v>21</v>
      </c>
      <c r="I314" s="418">
        <v>9.335079356E9</v>
      </c>
      <c r="J314" s="420"/>
      <c r="K314" s="421" t="s">
        <v>20</v>
      </c>
      <c r="L314" s="422" t="s">
        <v>330</v>
      </c>
      <c r="M314" s="502" t="s">
        <v>1687</v>
      </c>
      <c r="N314" s="422">
        <v>80.0</v>
      </c>
      <c r="O314" s="502" t="s">
        <v>25</v>
      </c>
      <c r="P314" s="502" t="s">
        <v>55</v>
      </c>
      <c r="Q314" s="423" t="s">
        <v>1330</v>
      </c>
    </row>
    <row r="315">
      <c r="A315" s="33">
        <v>797.0</v>
      </c>
      <c r="B315" s="34">
        <v>797.0</v>
      </c>
      <c r="C315" s="260">
        <v>34.0</v>
      </c>
      <c r="D315" s="260" t="str">
        <f>IFERROR(__xludf.DUMMYFUNCTION("if(B315&lt;=999,if(B315&lt;=99,IF(B315&lt;=9,join(,""000"",B315),join(,""00"",B315)),join(,""0"",B315)),B315)"),"0797")</f>
        <v>0797</v>
      </c>
      <c r="E315" s="270" t="s">
        <v>1181</v>
      </c>
      <c r="F315" s="260" t="s">
        <v>20</v>
      </c>
      <c r="G315" s="260" t="s">
        <v>1437</v>
      </c>
      <c r="H315" s="410" t="s">
        <v>21</v>
      </c>
      <c r="I315" s="260">
        <v>7.983106328E9</v>
      </c>
      <c r="J315" s="264" t="s">
        <v>34</v>
      </c>
      <c r="K315" s="411" t="str">
        <f>vlookup(D315,'Elligible Training Institutes R'!$D$9:$L$19,9,false)</f>
        <v>#N/A</v>
      </c>
      <c r="L315" s="401"/>
      <c r="M315" s="401" t="s">
        <v>1438</v>
      </c>
      <c r="N315" s="401" t="e">
        <v>#N/A</v>
      </c>
      <c r="O315" s="401"/>
      <c r="P315" s="401"/>
      <c r="Q315" s="441" t="s">
        <v>43</v>
      </c>
    </row>
    <row r="316" hidden="1">
      <c r="A316" s="55">
        <v>1269.0</v>
      </c>
      <c r="B316" s="55">
        <v>1269.0</v>
      </c>
      <c r="C316" s="298">
        <v>163.0</v>
      </c>
      <c r="D316" s="298">
        <f>IFERROR(__xludf.DUMMYFUNCTION("if(B316&lt;=999,if(B316&lt;=99,IF(B316&lt;=9,join(,""000"",B316),join(,""00"",B316)),join(,""0"",B316)),B316)"),1269.0)</f>
        <v>1269</v>
      </c>
      <c r="E316" s="425" t="s">
        <v>759</v>
      </c>
      <c r="F316" s="426" t="s">
        <v>20</v>
      </c>
      <c r="G316" s="298" t="str">
        <f t="shared" ref="G316:G317" si="68">VLOOKUP(D316,'Copy of Form Responses; CCTV Infra 1'!$G$2:$I$675,2,false)</f>
        <v>#REF!</v>
      </c>
      <c r="H316" s="426" t="s">
        <v>21</v>
      </c>
      <c r="I316" s="298" t="str">
        <f t="shared" ref="I316:I317" si="69">VLOOKUP(D316,'Copy of Form Responses; CCTV Infra 1'!$G$2:$I$675,3,false)</f>
        <v>#REF!</v>
      </c>
      <c r="J316" s="405" t="s">
        <v>60</v>
      </c>
      <c r="K316" s="427" t="s">
        <v>20</v>
      </c>
      <c r="L316" s="291" t="s">
        <v>760</v>
      </c>
      <c r="M316" s="402" t="s">
        <v>761</v>
      </c>
      <c r="N316" s="407">
        <v>80.0</v>
      </c>
      <c r="O316" s="439" t="s">
        <v>25</v>
      </c>
      <c r="P316" s="439" t="s">
        <v>762</v>
      </c>
      <c r="Q316" s="414" t="s">
        <v>1330</v>
      </c>
    </row>
    <row r="317" hidden="1">
      <c r="A317" s="51">
        <v>1439.0</v>
      </c>
      <c r="B317" s="51">
        <v>1439.0</v>
      </c>
      <c r="C317" s="289">
        <v>164.0</v>
      </c>
      <c r="D317" s="289">
        <f>IFERROR(__xludf.DUMMYFUNCTION("if(B317&lt;=999,if(B317&lt;=99,IF(B317&lt;=9,join(,""000"",B317),join(,""00"",B317)),join(,""0"",B317)),B317)"),1439.0)</f>
        <v>1439</v>
      </c>
      <c r="E317" s="301" t="s">
        <v>763</v>
      </c>
      <c r="F317" s="325" t="s">
        <v>20</v>
      </c>
      <c r="G317" s="289" t="str">
        <f t="shared" si="68"/>
        <v>#REF!</v>
      </c>
      <c r="H317" s="408" t="s">
        <v>21</v>
      </c>
      <c r="I317" s="289" t="str">
        <f t="shared" si="69"/>
        <v>#REF!</v>
      </c>
      <c r="J317" s="400" t="s">
        <v>22</v>
      </c>
      <c r="K317" s="328" t="s">
        <v>20</v>
      </c>
      <c r="L317" s="329" t="s">
        <v>254</v>
      </c>
      <c r="M317" s="329" t="s">
        <v>764</v>
      </c>
      <c r="N317" s="401">
        <v>25.0</v>
      </c>
      <c r="O317" s="329" t="s">
        <v>25</v>
      </c>
      <c r="P317" s="329" t="s">
        <v>222</v>
      </c>
      <c r="Q317" s="414" t="s">
        <v>1330</v>
      </c>
    </row>
    <row r="318" hidden="1">
      <c r="A318" s="51">
        <v>1100.0</v>
      </c>
      <c r="B318" s="51">
        <v>1100.0</v>
      </c>
      <c r="C318" s="289"/>
      <c r="D318" s="289">
        <f>IFERROR(__xludf.DUMMYFUNCTION("if(B318&lt;=999,if(B318&lt;=99,IF(B318&lt;=9,join(,""000"",B318),join(,""00"",B318)),join(,""0"",B318)),B318)"),1100.0)</f>
        <v>1100</v>
      </c>
      <c r="E318" s="326" t="s">
        <v>765</v>
      </c>
      <c r="F318" s="325" t="s">
        <v>20</v>
      </c>
      <c r="G318" s="289" t="s">
        <v>1688</v>
      </c>
      <c r="H318" s="408" t="s">
        <v>21</v>
      </c>
      <c r="I318" s="289">
        <v>9.044932126E9</v>
      </c>
      <c r="J318" s="495" t="s">
        <v>22</v>
      </c>
      <c r="K318" s="328" t="s">
        <v>20</v>
      </c>
      <c r="L318" s="329"/>
      <c r="M318" s="329" t="s">
        <v>1689</v>
      </c>
      <c r="N318" s="401">
        <v>36666.0</v>
      </c>
      <c r="O318" s="329" t="s">
        <v>25</v>
      </c>
      <c r="P318" s="329" t="s">
        <v>256</v>
      </c>
      <c r="Q318" s="414" t="s">
        <v>1330</v>
      </c>
    </row>
    <row r="319" hidden="1">
      <c r="A319" s="51">
        <v>1232.0</v>
      </c>
      <c r="B319" s="51">
        <v>1232.0</v>
      </c>
      <c r="C319" s="289"/>
      <c r="D319" s="289">
        <f>IFERROR(__xludf.DUMMYFUNCTION("if(B319&lt;=999,if(B319&lt;=99,IF(B319&lt;=9,join(,""000"",B319),join(,""00"",B319)),join(,""0"",B319)),B319)"),1232.0)</f>
        <v>1232</v>
      </c>
      <c r="E319" s="326" t="s">
        <v>766</v>
      </c>
      <c r="F319" s="325" t="s">
        <v>20</v>
      </c>
      <c r="G319" s="289" t="str">
        <f t="shared" ref="G319:G327" si="70">VLOOKUP(D319,'Copy of Form Responses; CCTV Infra 1'!$G$2:$I$675,2,false)</f>
        <v>#REF!</v>
      </c>
      <c r="H319" s="408" t="s">
        <v>21</v>
      </c>
      <c r="I319" s="289" t="str">
        <f t="shared" ref="I319:I327" si="71">VLOOKUP(D319,'Copy of Form Responses; CCTV Infra 1'!$G$2:$I$675,3,false)</f>
        <v>#REF!</v>
      </c>
      <c r="J319" s="400" t="s">
        <v>22</v>
      </c>
      <c r="K319" s="328" t="s">
        <v>20</v>
      </c>
      <c r="L319" s="329" t="s">
        <v>28</v>
      </c>
      <c r="M319" s="329" t="s">
        <v>1690</v>
      </c>
      <c r="N319" s="401">
        <v>8.0</v>
      </c>
      <c r="O319" s="329" t="s">
        <v>25</v>
      </c>
      <c r="P319" s="329" t="s">
        <v>163</v>
      </c>
      <c r="Q319" s="414" t="s">
        <v>1330</v>
      </c>
    </row>
    <row r="320" hidden="1">
      <c r="A320" s="45">
        <v>1361.0</v>
      </c>
      <c r="B320" s="45">
        <v>1361.0</v>
      </c>
      <c r="C320" s="298"/>
      <c r="D320" s="298">
        <f>IFERROR(__xludf.DUMMYFUNCTION("if(B320&lt;=999,if(B320&lt;=99,IF(B320&lt;=9,join(,""000"",B320),join(,""00"",B320)),join(,""0"",B320)),B320)"),1361.0)</f>
        <v>1361</v>
      </c>
      <c r="E320" s="302" t="s">
        <v>768</v>
      </c>
      <c r="F320" s="298" t="s">
        <v>20</v>
      </c>
      <c r="G320" s="298" t="str">
        <f t="shared" si="70"/>
        <v>#REF!</v>
      </c>
      <c r="H320" s="298" t="s">
        <v>21</v>
      </c>
      <c r="I320" s="298" t="str">
        <f t="shared" si="71"/>
        <v>#REF!</v>
      </c>
      <c r="J320" s="405" t="s">
        <v>77</v>
      </c>
      <c r="K320" s="406" t="s">
        <v>20</v>
      </c>
      <c r="L320" s="407" t="s">
        <v>1691</v>
      </c>
      <c r="M320" s="414" t="s">
        <v>769</v>
      </c>
      <c r="N320" s="407">
        <v>64.0</v>
      </c>
      <c r="O320" s="414" t="s">
        <v>1692</v>
      </c>
      <c r="P320" s="414" t="s">
        <v>775</v>
      </c>
      <c r="Q320" s="414" t="s">
        <v>1330</v>
      </c>
    </row>
    <row r="321" hidden="1">
      <c r="A321" s="469">
        <v>1223.0</v>
      </c>
      <c r="B321" s="469">
        <v>1223.0</v>
      </c>
      <c r="C321" s="418">
        <v>165.0</v>
      </c>
      <c r="D321" s="416">
        <f>IFERROR(__xludf.DUMMYFUNCTION("if(B321&lt;=999,if(B321&lt;=99,IF(B321&lt;=9,join(,""000"",B321),join(,""00"",B321)),join(,""0"",B321)),B321)"),1223.0)</f>
        <v>1223</v>
      </c>
      <c r="E321" s="470" t="s">
        <v>772</v>
      </c>
      <c r="F321" s="416" t="s">
        <v>20</v>
      </c>
      <c r="G321" s="416" t="str">
        <f t="shared" si="70"/>
        <v>#REF!</v>
      </c>
      <c r="H321" s="416" t="s">
        <v>21</v>
      </c>
      <c r="I321" s="416" t="str">
        <f t="shared" si="71"/>
        <v>#REF!</v>
      </c>
      <c r="J321" s="471" t="s">
        <v>77</v>
      </c>
      <c r="K321" s="472" t="s">
        <v>20</v>
      </c>
      <c r="L321" s="423" t="s">
        <v>773</v>
      </c>
      <c r="M321" s="423" t="s">
        <v>769</v>
      </c>
      <c r="N321" s="423" t="e">
        <v>#N/A</v>
      </c>
      <c r="O321" s="444" t="s">
        <v>774</v>
      </c>
      <c r="P321" s="444" t="s">
        <v>775</v>
      </c>
      <c r="Q321" s="423" t="s">
        <v>1330</v>
      </c>
    </row>
    <row r="322">
      <c r="A322" s="33">
        <v>69.0</v>
      </c>
      <c r="B322" s="34">
        <v>69.0</v>
      </c>
      <c r="C322" s="260">
        <v>35.0</v>
      </c>
      <c r="D322" s="260" t="str">
        <f>IFERROR(__xludf.DUMMYFUNCTION("if(B322&lt;=999,if(B322&lt;=99,IF(B322&lt;=9,join(,""000"",B322),join(,""00"",B322)),join(,""0"",B322)),B322)"),"0069")</f>
        <v>0069</v>
      </c>
      <c r="E322" s="270" t="s">
        <v>1182</v>
      </c>
      <c r="F322" s="260" t="s">
        <v>20</v>
      </c>
      <c r="G322" s="260" t="str">
        <f t="shared" si="70"/>
        <v>#REF!</v>
      </c>
      <c r="H322" s="410" t="s">
        <v>21</v>
      </c>
      <c r="I322" s="260" t="str">
        <f t="shared" si="71"/>
        <v>#REF!</v>
      </c>
      <c r="J322" s="264" t="s">
        <v>22</v>
      </c>
      <c r="K322" s="411" t="str">
        <f>vlookup(D322,'Elligible Training Institutes R'!$D$9:$L$19,9,false)</f>
        <v>#N/A</v>
      </c>
      <c r="L322" s="401"/>
      <c r="M322" s="401"/>
      <c r="N322" s="401">
        <v>80.0</v>
      </c>
      <c r="O322" s="401"/>
      <c r="P322" s="401"/>
      <c r="Q322" s="441" t="s">
        <v>43</v>
      </c>
    </row>
    <row r="323" hidden="1">
      <c r="A323" s="51">
        <v>1431.0</v>
      </c>
      <c r="B323" s="51">
        <v>1431.0</v>
      </c>
      <c r="C323" s="298">
        <v>166.0</v>
      </c>
      <c r="D323" s="289">
        <f>IFERROR(__xludf.DUMMYFUNCTION("if(B323&lt;=999,if(B323&lt;=99,IF(B323&lt;=9,join(,""000"",B323),join(,""00"",B323)),join(,""0"",B323)),B323)"),1431.0)</f>
        <v>1431</v>
      </c>
      <c r="E323" s="301" t="s">
        <v>779</v>
      </c>
      <c r="F323" s="325" t="s">
        <v>20</v>
      </c>
      <c r="G323" s="289" t="str">
        <f t="shared" si="70"/>
        <v>#REF!</v>
      </c>
      <c r="H323" s="408" t="s">
        <v>21</v>
      </c>
      <c r="I323" s="289" t="str">
        <f t="shared" si="71"/>
        <v>#REF!</v>
      </c>
      <c r="J323" s="400" t="s">
        <v>77</v>
      </c>
      <c r="K323" s="328" t="s">
        <v>20</v>
      </c>
      <c r="L323" s="329" t="s">
        <v>95</v>
      </c>
      <c r="M323" s="329" t="s">
        <v>780</v>
      </c>
      <c r="N323" s="401">
        <v>16.0</v>
      </c>
      <c r="O323" s="329" t="s">
        <v>25</v>
      </c>
      <c r="P323" s="329" t="s">
        <v>55</v>
      </c>
      <c r="Q323" s="414" t="s">
        <v>1330</v>
      </c>
    </row>
    <row r="324" hidden="1">
      <c r="A324" s="51">
        <v>1085.0</v>
      </c>
      <c r="B324" s="51">
        <v>1085.0</v>
      </c>
      <c r="C324" s="289">
        <v>167.0</v>
      </c>
      <c r="D324" s="289">
        <f>IFERROR(__xludf.DUMMYFUNCTION("if(B324&lt;=999,if(B324&lt;=99,IF(B324&lt;=9,join(,""000"",B324),join(,""00"",B324)),join(,""0"",B324)),B324)"),1085.0)</f>
        <v>1085</v>
      </c>
      <c r="E324" s="301" t="s">
        <v>782</v>
      </c>
      <c r="F324" s="325" t="s">
        <v>20</v>
      </c>
      <c r="G324" s="289" t="str">
        <f t="shared" si="70"/>
        <v>#REF!</v>
      </c>
      <c r="H324" s="408" t="s">
        <v>21</v>
      </c>
      <c r="I324" s="289" t="str">
        <f t="shared" si="71"/>
        <v>#REF!</v>
      </c>
      <c r="J324" s="413" t="s">
        <v>99</v>
      </c>
      <c r="K324" s="328" t="s">
        <v>20</v>
      </c>
      <c r="L324" s="329" t="s">
        <v>783</v>
      </c>
      <c r="M324" s="291" t="s">
        <v>784</v>
      </c>
      <c r="N324" s="401">
        <v>8888.0</v>
      </c>
      <c r="O324" s="329" t="s">
        <v>25</v>
      </c>
      <c r="P324" s="329" t="s">
        <v>785</v>
      </c>
      <c r="Q324" s="414" t="s">
        <v>1330</v>
      </c>
    </row>
    <row r="325" hidden="1">
      <c r="A325" s="51">
        <v>1052.0</v>
      </c>
      <c r="B325" s="51">
        <v>1052.0</v>
      </c>
      <c r="C325" s="289">
        <v>168.0</v>
      </c>
      <c r="D325" s="289">
        <f>IFERROR(__xludf.DUMMYFUNCTION("if(B325&lt;=999,if(B325&lt;=99,IF(B325&lt;=9,join(,""000"",B325),join(,""00"",B325)),join(,""0"",B325)),B325)"),1052.0)</f>
        <v>1052</v>
      </c>
      <c r="E325" s="301" t="s">
        <v>786</v>
      </c>
      <c r="F325" s="325" t="s">
        <v>20</v>
      </c>
      <c r="G325" s="289" t="str">
        <f t="shared" si="70"/>
        <v>#REF!</v>
      </c>
      <c r="H325" s="408" t="s">
        <v>21</v>
      </c>
      <c r="I325" s="289" t="str">
        <f t="shared" si="71"/>
        <v>#REF!</v>
      </c>
      <c r="J325" s="400" t="s">
        <v>99</v>
      </c>
      <c r="K325" s="328" t="s">
        <v>20</v>
      </c>
      <c r="L325" s="329" t="s">
        <v>783</v>
      </c>
      <c r="M325" s="291" t="s">
        <v>784</v>
      </c>
      <c r="N325" s="401">
        <v>8888.0</v>
      </c>
      <c r="O325" s="329" t="s">
        <v>25</v>
      </c>
      <c r="P325" s="329" t="s">
        <v>785</v>
      </c>
      <c r="Q325" s="414" t="s">
        <v>1330</v>
      </c>
    </row>
    <row r="326">
      <c r="A326" s="33">
        <v>512.0</v>
      </c>
      <c r="B326" s="34">
        <v>512.0</v>
      </c>
      <c r="C326" s="260">
        <v>36.0</v>
      </c>
      <c r="D326" s="260" t="str">
        <f>IFERROR(__xludf.DUMMYFUNCTION("if(B326&lt;=999,if(B326&lt;=99,IF(B326&lt;=9,join(,""000"",B326),join(,""00"",B326)),join(,""0"",B326)),B326)"),"0512")</f>
        <v>0512</v>
      </c>
      <c r="E326" s="270" t="s">
        <v>787</v>
      </c>
      <c r="F326" s="260" t="s">
        <v>35</v>
      </c>
      <c r="G326" s="260" t="str">
        <f t="shared" si="70"/>
        <v>#REF!</v>
      </c>
      <c r="H326" s="410" t="s">
        <v>21</v>
      </c>
      <c r="I326" s="260" t="str">
        <f t="shared" si="71"/>
        <v>#REF!</v>
      </c>
      <c r="J326" s="264"/>
      <c r="K326" s="411" t="str">
        <f>vlookup(D326,'Elligible Training Institutes R'!$D$9:$L$19,9,false)</f>
        <v>#N/A</v>
      </c>
      <c r="L326" s="401"/>
      <c r="M326" s="401"/>
      <c r="N326" s="401" t="e">
        <v>#N/A</v>
      </c>
      <c r="O326" s="401"/>
      <c r="P326" s="401"/>
      <c r="Q326" s="412" t="s">
        <v>1423</v>
      </c>
    </row>
    <row r="327" hidden="1">
      <c r="A327" s="51">
        <v>1304.0</v>
      </c>
      <c r="B327" s="51">
        <v>1304.0</v>
      </c>
      <c r="C327" s="298">
        <v>169.0</v>
      </c>
      <c r="D327" s="289">
        <f>IFERROR(__xludf.DUMMYFUNCTION("if(B327&lt;=999,if(B327&lt;=99,IF(B327&lt;=9,join(,""000"",B327),join(,""00"",B327)),join(,""0"",B327)),B327)"),1304.0)</f>
        <v>1304</v>
      </c>
      <c r="E327" s="301" t="s">
        <v>788</v>
      </c>
      <c r="F327" s="325" t="s">
        <v>20</v>
      </c>
      <c r="G327" s="289" t="str">
        <f t="shared" si="70"/>
        <v>#REF!</v>
      </c>
      <c r="H327" s="408" t="s">
        <v>21</v>
      </c>
      <c r="I327" s="289" t="str">
        <f t="shared" si="71"/>
        <v>#REF!</v>
      </c>
      <c r="J327" s="400" t="s">
        <v>22</v>
      </c>
      <c r="K327" s="265" t="s">
        <v>20</v>
      </c>
      <c r="L327" s="329" t="s">
        <v>789</v>
      </c>
      <c r="M327" s="329" t="s">
        <v>790</v>
      </c>
      <c r="N327" s="401" t="s">
        <v>791</v>
      </c>
      <c r="O327" s="329" t="s">
        <v>25</v>
      </c>
      <c r="P327" s="329" t="s">
        <v>792</v>
      </c>
      <c r="Q327" s="414" t="s">
        <v>1330</v>
      </c>
    </row>
    <row r="328">
      <c r="A328" s="51">
        <v>231.0</v>
      </c>
      <c r="B328" s="51">
        <v>231.0</v>
      </c>
      <c r="C328" s="260">
        <v>37.0</v>
      </c>
      <c r="D328" s="260" t="str">
        <f>IFERROR(__xludf.DUMMYFUNCTION("if(B328&lt;=999,if(B328&lt;=99,IF(B328&lt;=9,join(,""000"",B328),join(,""00"",B328)),join(,""0"",B328)),B328)"),"0231")</f>
        <v>0231</v>
      </c>
      <c r="E328" s="270" t="s">
        <v>1289</v>
      </c>
      <c r="F328" s="260" t="s">
        <v>20</v>
      </c>
      <c r="G328" s="260" t="s">
        <v>1439</v>
      </c>
      <c r="H328" s="410" t="s">
        <v>21</v>
      </c>
      <c r="I328" s="260">
        <v>9.198331523E9</v>
      </c>
      <c r="J328" s="264" t="s">
        <v>101</v>
      </c>
      <c r="K328" s="411" t="str">
        <f>vlookup(D328,'Elligible Training Institutes R'!$D$9:$L$19,9,false)</f>
        <v>#N/A</v>
      </c>
      <c r="L328" s="329"/>
      <c r="M328" s="329"/>
      <c r="N328" s="401" t="e">
        <v>#N/A</v>
      </c>
      <c r="O328" s="329"/>
      <c r="P328" s="329"/>
      <c r="Q328" s="412" t="s">
        <v>43</v>
      </c>
    </row>
    <row r="329" hidden="1">
      <c r="A329" s="51">
        <v>647.0</v>
      </c>
      <c r="B329" s="51">
        <v>647.0</v>
      </c>
      <c r="C329" s="289">
        <v>170.0</v>
      </c>
      <c r="D329" s="289" t="str">
        <f>IFERROR(__xludf.DUMMYFUNCTION("if(B329&lt;=999,if(B329&lt;=99,IF(B329&lt;=9,join(,""000"",B329),join(,""00"",B329)),join(,""0"",B329)),B329)"),"0647")</f>
        <v>0647</v>
      </c>
      <c r="E329" s="301" t="s">
        <v>796</v>
      </c>
      <c r="F329" s="325" t="s">
        <v>20</v>
      </c>
      <c r="G329" s="289" t="str">
        <f>VLOOKUP(D329,'Copy of Form Responses; CCTV Infra 1'!$G$2:$I$675,2,false)</f>
        <v>#REF!</v>
      </c>
      <c r="H329" s="408" t="s">
        <v>21</v>
      </c>
      <c r="I329" s="289" t="str">
        <f>VLOOKUP(D329,'Copy of Form Responses; CCTV Infra 1'!$G$2:$I$675,3,false)</f>
        <v>#REF!</v>
      </c>
      <c r="J329" s="400" t="s">
        <v>22</v>
      </c>
      <c r="K329" s="328" t="s">
        <v>20</v>
      </c>
      <c r="L329" s="438" t="s">
        <v>381</v>
      </c>
      <c r="M329" s="438" t="s">
        <v>797</v>
      </c>
      <c r="N329" s="401">
        <v>25001.0</v>
      </c>
      <c r="O329" s="438" t="s">
        <v>25</v>
      </c>
      <c r="P329" s="438" t="s">
        <v>798</v>
      </c>
      <c r="Q329" s="414" t="s">
        <v>1330</v>
      </c>
    </row>
    <row r="330" hidden="1">
      <c r="A330" s="51">
        <v>1298.0</v>
      </c>
      <c r="B330" s="51">
        <v>1298.0</v>
      </c>
      <c r="C330" s="289"/>
      <c r="D330" s="289">
        <f>IFERROR(__xludf.DUMMYFUNCTION("if(B330&lt;=999,if(B330&lt;=99,IF(B330&lt;=9,join(,""000"",B330),join(,""00"",B330)),join(,""0"",B330)),B330)"),1298.0)</f>
        <v>1298</v>
      </c>
      <c r="E330" s="326" t="s">
        <v>799</v>
      </c>
      <c r="F330" s="325" t="s">
        <v>20</v>
      </c>
      <c r="G330" s="503" t="s">
        <v>1693</v>
      </c>
      <c r="H330" s="408" t="s">
        <v>21</v>
      </c>
      <c r="I330" s="289">
        <v>8.869999464E9</v>
      </c>
      <c r="J330" s="400" t="s">
        <v>22</v>
      </c>
      <c r="K330" s="328" t="s">
        <v>20</v>
      </c>
      <c r="L330" s="329" t="s">
        <v>381</v>
      </c>
      <c r="M330" s="329" t="s">
        <v>1694</v>
      </c>
      <c r="N330" s="401" t="e">
        <v>#N/A</v>
      </c>
      <c r="O330" s="447" t="s">
        <v>25</v>
      </c>
      <c r="P330" s="447" t="s">
        <v>55</v>
      </c>
      <c r="Q330" s="414" t="s">
        <v>1330</v>
      </c>
    </row>
    <row r="331">
      <c r="A331" s="51">
        <v>1367.0</v>
      </c>
      <c r="B331" s="51">
        <v>1367.0</v>
      </c>
      <c r="C331" s="260">
        <v>38.0</v>
      </c>
      <c r="D331" s="260">
        <f>IFERROR(__xludf.DUMMYFUNCTION("if(B331&lt;=999,if(B331&lt;=99,IF(B331&lt;=9,join(,""000"",B331),join(,""00"",B331)),join(,""0"",B331)),B331)"),1367.0)</f>
        <v>1367</v>
      </c>
      <c r="E331" s="270" t="s">
        <v>652</v>
      </c>
      <c r="F331" s="260" t="s">
        <v>20</v>
      </c>
      <c r="G331" s="260" t="str">
        <f>VLOOKUP(D331,'Copy of Form Responses; CCTV Infra 1'!$G$2:$I$675,2,false)</f>
        <v>#REF!</v>
      </c>
      <c r="H331" s="410" t="s">
        <v>21</v>
      </c>
      <c r="I331" s="260" t="str">
        <f>VLOOKUP(D331,'Copy of Form Responses; CCTV Infra 1'!$G$2:$I$675,3,false)</f>
        <v>#REF!</v>
      </c>
      <c r="J331" s="264" t="s">
        <v>22</v>
      </c>
      <c r="K331" s="411" t="str">
        <f>vlookup(D331,'Elligible Training Institutes R'!$D$9:$L$19,9,false)</f>
        <v>#N/A</v>
      </c>
      <c r="L331" s="329" t="s">
        <v>1440</v>
      </c>
      <c r="M331" s="504" t="s">
        <v>1441</v>
      </c>
      <c r="N331" s="401">
        <v>32.0</v>
      </c>
      <c r="O331" s="329" t="s">
        <v>25</v>
      </c>
      <c r="P331" s="329" t="s">
        <v>1442</v>
      </c>
      <c r="Q331" s="412" t="s">
        <v>1443</v>
      </c>
    </row>
    <row r="332">
      <c r="A332" s="51">
        <v>798.0</v>
      </c>
      <c r="B332" s="51">
        <v>798.0</v>
      </c>
      <c r="C332" s="260">
        <v>39.0</v>
      </c>
      <c r="D332" s="260" t="str">
        <f>IFERROR(__xludf.DUMMYFUNCTION("if(B332&lt;=999,if(B332&lt;=99,IF(B332&lt;=9,join(,""000"",B332),join(,""00"",B332)),join(,""0"",B332)),B332)"),"0798")</f>
        <v>0798</v>
      </c>
      <c r="E332" s="270" t="s">
        <v>804</v>
      </c>
      <c r="F332" s="260" t="s">
        <v>20</v>
      </c>
      <c r="G332" s="390" t="s">
        <v>805</v>
      </c>
      <c r="H332" s="410" t="s">
        <v>21</v>
      </c>
      <c r="I332" s="391">
        <v>8.95305608E9</v>
      </c>
      <c r="J332" s="264"/>
      <c r="K332" s="411" t="str">
        <f>vlookup(D332,'Elligible Training Institutes R'!$D$9:$L$19,9,false)</f>
        <v>#N/A</v>
      </c>
      <c r="L332" s="329" t="s">
        <v>381</v>
      </c>
      <c r="M332" s="329"/>
      <c r="N332" s="401"/>
      <c r="O332" s="329"/>
      <c r="P332" s="329"/>
      <c r="Q332" s="412" t="s">
        <v>806</v>
      </c>
    </row>
    <row r="333" hidden="1">
      <c r="A333" s="55">
        <v>1074.0</v>
      </c>
      <c r="B333" s="55">
        <v>1074.0</v>
      </c>
      <c r="C333" s="289">
        <v>171.0</v>
      </c>
      <c r="D333" s="298">
        <f>IFERROR(__xludf.DUMMYFUNCTION("if(B333&lt;=999,if(B333&lt;=99,IF(B333&lt;=9,join(,""000"",B333),join(,""00"",B333)),join(,""0"",B333)),B333)"),1074.0)</f>
        <v>1074</v>
      </c>
      <c r="E333" s="425" t="s">
        <v>807</v>
      </c>
      <c r="F333" s="426" t="s">
        <v>20</v>
      </c>
      <c r="G333" s="298" t="str">
        <f t="shared" ref="G333:G335" si="72">VLOOKUP(D333,'Copy of Form Responses; CCTV Infra 1'!$G$2:$I$675,2,false)</f>
        <v>#REF!</v>
      </c>
      <c r="H333" s="426" t="s">
        <v>21</v>
      </c>
      <c r="I333" s="298" t="str">
        <f t="shared" ref="I333:I335" si="73">VLOOKUP(D333,'Copy of Form Responses; CCTV Infra 1'!$G$2:$I$675,3,false)</f>
        <v>#REF!</v>
      </c>
      <c r="J333" s="490" t="s">
        <v>99</v>
      </c>
      <c r="K333" s="427" t="s">
        <v>20</v>
      </c>
      <c r="L333" s="414" t="s">
        <v>381</v>
      </c>
      <c r="M333" s="414" t="s">
        <v>808</v>
      </c>
      <c r="N333" s="407">
        <v>80.0</v>
      </c>
      <c r="O333" s="414" t="s">
        <v>25</v>
      </c>
      <c r="P333" s="414" t="s">
        <v>26</v>
      </c>
      <c r="Q333" s="414" t="s">
        <v>1330</v>
      </c>
    </row>
    <row r="334" hidden="1">
      <c r="A334" s="45">
        <v>530.0</v>
      </c>
      <c r="B334" s="45">
        <v>530.0</v>
      </c>
      <c r="C334" s="298">
        <v>172.0</v>
      </c>
      <c r="D334" s="298" t="str">
        <f>IFERROR(__xludf.DUMMYFUNCTION("if(B334&lt;=999,if(B334&lt;=99,IF(B334&lt;=9,join(,""000"",B334),join(,""00"",B334)),join(,""0"",B334)),B334)"),"0530")</f>
        <v>0530</v>
      </c>
      <c r="E334" s="299" t="s">
        <v>809</v>
      </c>
      <c r="F334" s="298" t="s">
        <v>20</v>
      </c>
      <c r="G334" s="298" t="str">
        <f t="shared" si="72"/>
        <v>#REF!</v>
      </c>
      <c r="H334" s="298" t="s">
        <v>21</v>
      </c>
      <c r="I334" s="298" t="str">
        <f t="shared" si="73"/>
        <v>#REF!</v>
      </c>
      <c r="J334" s="405" t="s">
        <v>77</v>
      </c>
      <c r="K334" s="406" t="s">
        <v>20</v>
      </c>
      <c r="L334" s="414" t="s">
        <v>28</v>
      </c>
      <c r="M334" s="414" t="s">
        <v>810</v>
      </c>
      <c r="N334" s="407" t="s">
        <v>811</v>
      </c>
      <c r="O334" s="414" t="s">
        <v>25</v>
      </c>
      <c r="P334" s="414" t="s">
        <v>55</v>
      </c>
      <c r="Q334" s="414" t="s">
        <v>1330</v>
      </c>
    </row>
    <row r="335" hidden="1">
      <c r="A335" s="51">
        <v>741.0</v>
      </c>
      <c r="B335" s="51">
        <v>741.0</v>
      </c>
      <c r="C335" s="289"/>
      <c r="D335" s="289" t="str">
        <f>IFERROR(__xludf.DUMMYFUNCTION("if(B335&lt;=999,if(B335&lt;=99,IF(B335&lt;=9,join(,""000"",B335),join(,""00"",B335)),join(,""0"",B335)),B335)"),"0741")</f>
        <v>0741</v>
      </c>
      <c r="E335" s="326" t="s">
        <v>812</v>
      </c>
      <c r="F335" s="325" t="s">
        <v>20</v>
      </c>
      <c r="G335" s="289" t="str">
        <f t="shared" si="72"/>
        <v>#REF!</v>
      </c>
      <c r="H335" s="408" t="s">
        <v>21</v>
      </c>
      <c r="I335" s="289" t="str">
        <f t="shared" si="73"/>
        <v>#REF!</v>
      </c>
      <c r="J335" s="413" t="s">
        <v>34</v>
      </c>
      <c r="K335" s="328" t="s">
        <v>20</v>
      </c>
      <c r="L335" s="329" t="s">
        <v>381</v>
      </c>
      <c r="M335" s="414" t="s">
        <v>1695</v>
      </c>
      <c r="N335" s="401"/>
      <c r="O335" s="329" t="s">
        <v>25</v>
      </c>
      <c r="P335" s="329" t="s">
        <v>86</v>
      </c>
      <c r="Q335" s="414" t="s">
        <v>1330</v>
      </c>
    </row>
    <row r="336" hidden="1">
      <c r="A336" s="324">
        <v>227.0</v>
      </c>
      <c r="B336" s="415">
        <v>227.0</v>
      </c>
      <c r="C336" s="418"/>
      <c r="D336" s="418" t="str">
        <f>IFERROR(__xludf.DUMMYFUNCTION("if(B336&lt;=999,if(B336&lt;=99,IF(B336&lt;=9,join(,""000"",B336),join(,""00"",B336)),join(,""0"",B336)),B336)"),"0227")</f>
        <v>0227</v>
      </c>
      <c r="E336" s="442" t="s">
        <v>814</v>
      </c>
      <c r="F336" s="418" t="s">
        <v>20</v>
      </c>
      <c r="G336" s="418" t="s">
        <v>1696</v>
      </c>
      <c r="H336" s="419" t="s">
        <v>21</v>
      </c>
      <c r="I336" s="418">
        <v>8.299338101E9</v>
      </c>
      <c r="J336" s="420" t="s">
        <v>1697</v>
      </c>
      <c r="K336" s="421" t="s">
        <v>20</v>
      </c>
      <c r="L336" s="422" t="s">
        <v>95</v>
      </c>
      <c r="M336" s="448" t="s">
        <v>1695</v>
      </c>
      <c r="N336" s="422"/>
      <c r="O336" s="422" t="s">
        <v>25</v>
      </c>
      <c r="P336" s="422" t="s">
        <v>86</v>
      </c>
      <c r="Q336" s="423" t="s">
        <v>1330</v>
      </c>
    </row>
    <row r="337" hidden="1">
      <c r="A337" s="51">
        <v>1233.0</v>
      </c>
      <c r="B337" s="51">
        <v>1233.0</v>
      </c>
      <c r="C337" s="289">
        <v>173.0</v>
      </c>
      <c r="D337" s="289">
        <f>IFERROR(__xludf.DUMMYFUNCTION("if(B337&lt;=999,if(B337&lt;=99,IF(B337&lt;=9,join(,""000"",B337),join(,""00"",B337)),join(,""0"",B337)),B337)"),1233.0)</f>
        <v>1233</v>
      </c>
      <c r="E337" s="301" t="s">
        <v>815</v>
      </c>
      <c r="F337" s="325" t="s">
        <v>20</v>
      </c>
      <c r="G337" s="289" t="str">
        <f t="shared" ref="G337:G341" si="74">VLOOKUP(D337,'Copy of Form Responses; CCTV Infra 1'!$G$2:$I$675,2,false)</f>
        <v>#REF!</v>
      </c>
      <c r="H337" s="408" t="s">
        <v>21</v>
      </c>
      <c r="I337" s="289" t="str">
        <f t="shared" ref="I337:I341" si="75">VLOOKUP(D337,'Copy of Form Responses; CCTV Infra 1'!$G$2:$I$675,3,false)</f>
        <v>#REF!</v>
      </c>
      <c r="J337" s="400" t="s">
        <v>22</v>
      </c>
      <c r="K337" s="328" t="s">
        <v>20</v>
      </c>
      <c r="L337" s="329" t="s">
        <v>28</v>
      </c>
      <c r="M337" s="329" t="s">
        <v>816</v>
      </c>
      <c r="N337" s="401">
        <v>80.0</v>
      </c>
      <c r="O337" s="329" t="s">
        <v>25</v>
      </c>
      <c r="P337" s="329" t="s">
        <v>86</v>
      </c>
      <c r="Q337" s="414" t="s">
        <v>1330</v>
      </c>
    </row>
    <row r="338" hidden="1">
      <c r="A338" s="51">
        <v>1115.0</v>
      </c>
      <c r="B338" s="51">
        <v>1115.0</v>
      </c>
      <c r="C338" s="289">
        <v>174.0</v>
      </c>
      <c r="D338" s="289">
        <f>IFERROR(__xludf.DUMMYFUNCTION("if(B338&lt;=999,if(B338&lt;=99,IF(B338&lt;=9,join(,""000"",B338),join(,""00"",B338)),join(,""0"",B338)),B338)"),1115.0)</f>
        <v>1115</v>
      </c>
      <c r="E338" s="301" t="s">
        <v>817</v>
      </c>
      <c r="F338" s="325" t="s">
        <v>20</v>
      </c>
      <c r="G338" s="289" t="str">
        <f t="shared" si="74"/>
        <v>#REF!</v>
      </c>
      <c r="H338" s="408" t="s">
        <v>21</v>
      </c>
      <c r="I338" s="289" t="str">
        <f t="shared" si="75"/>
        <v>#REF!</v>
      </c>
      <c r="J338" s="413" t="s">
        <v>77</v>
      </c>
      <c r="K338" s="328" t="s">
        <v>20</v>
      </c>
      <c r="L338" s="329" t="s">
        <v>818</v>
      </c>
      <c r="M338" s="329" t="s">
        <v>819</v>
      </c>
      <c r="N338" s="401">
        <v>80.0</v>
      </c>
      <c r="O338" s="329" t="s">
        <v>25</v>
      </c>
      <c r="P338" s="329" t="s">
        <v>86</v>
      </c>
      <c r="Q338" s="414" t="s">
        <v>1330</v>
      </c>
    </row>
    <row r="339" hidden="1">
      <c r="A339" s="51">
        <v>219.0</v>
      </c>
      <c r="B339" s="51">
        <v>219.0</v>
      </c>
      <c r="C339" s="298">
        <v>175.0</v>
      </c>
      <c r="D339" s="289" t="str">
        <f>IFERROR(__xludf.DUMMYFUNCTION("if(B339&lt;=999,if(B339&lt;=99,IF(B339&lt;=9,join(,""000"",B339),join(,""00"",B339)),join(,""0"",B339)),B339)"),"0219")</f>
        <v>0219</v>
      </c>
      <c r="E339" s="301" t="s">
        <v>820</v>
      </c>
      <c r="F339" s="325" t="s">
        <v>20</v>
      </c>
      <c r="G339" s="289" t="str">
        <f t="shared" si="74"/>
        <v>#REF!</v>
      </c>
      <c r="H339" s="408" t="s">
        <v>21</v>
      </c>
      <c r="I339" s="289" t="str">
        <f t="shared" si="75"/>
        <v>#REF!</v>
      </c>
      <c r="J339" s="413" t="s">
        <v>77</v>
      </c>
      <c r="K339" s="328" t="s">
        <v>20</v>
      </c>
      <c r="L339" s="329" t="s">
        <v>818</v>
      </c>
      <c r="M339" s="329" t="s">
        <v>821</v>
      </c>
      <c r="N339" s="401">
        <v>80.0</v>
      </c>
      <c r="O339" s="329" t="s">
        <v>25</v>
      </c>
      <c r="P339" s="329" t="s">
        <v>86</v>
      </c>
      <c r="Q339" s="414" t="s">
        <v>1330</v>
      </c>
    </row>
    <row r="340" hidden="1">
      <c r="A340" s="33">
        <v>1402.0</v>
      </c>
      <c r="B340" s="34">
        <v>1402.0</v>
      </c>
      <c r="C340" s="289">
        <v>176.0</v>
      </c>
      <c r="D340" s="289">
        <f>IFERROR(__xludf.DUMMYFUNCTION("if(B340&lt;=999,if(B340&lt;=99,IF(B340&lt;=9,join(,""000"",B340),join(,""00"",B340)),join(,""0"",B340)),B340)"),1402.0)</f>
        <v>1402</v>
      </c>
      <c r="E340" s="296" t="s">
        <v>822</v>
      </c>
      <c r="F340" s="289" t="s">
        <v>20</v>
      </c>
      <c r="G340" s="289" t="str">
        <f t="shared" si="74"/>
        <v>#REF!</v>
      </c>
      <c r="H340" s="399" t="s">
        <v>21</v>
      </c>
      <c r="I340" s="289" t="str">
        <f t="shared" si="75"/>
        <v>#REF!</v>
      </c>
      <c r="J340" s="400" t="s">
        <v>22</v>
      </c>
      <c r="K340" s="290" t="s">
        <v>20</v>
      </c>
      <c r="L340" s="329" t="s">
        <v>254</v>
      </c>
      <c r="M340" s="329" t="s">
        <v>823</v>
      </c>
      <c r="N340" s="401">
        <v>80.0</v>
      </c>
      <c r="O340" s="329" t="s">
        <v>25</v>
      </c>
      <c r="P340" s="329" t="s">
        <v>55</v>
      </c>
      <c r="Q340" s="414" t="s">
        <v>1330</v>
      </c>
    </row>
    <row r="341" hidden="1">
      <c r="A341" s="55">
        <v>1125.0</v>
      </c>
      <c r="B341" s="55">
        <v>1125.0</v>
      </c>
      <c r="C341" s="298"/>
      <c r="D341" s="298">
        <f>IFERROR(__xludf.DUMMYFUNCTION("if(B341&lt;=999,if(B341&lt;=99,IF(B341&lt;=9,join(,""000"",B341),join(,""00"",B341)),join(,""0"",B341)),B341)"),1125.0)</f>
        <v>1125</v>
      </c>
      <c r="E341" s="457" t="s">
        <v>824</v>
      </c>
      <c r="F341" s="426" t="s">
        <v>20</v>
      </c>
      <c r="G341" s="298" t="str">
        <f t="shared" si="74"/>
        <v>#REF!</v>
      </c>
      <c r="H341" s="426" t="s">
        <v>21</v>
      </c>
      <c r="I341" s="298" t="str">
        <f t="shared" si="75"/>
        <v>#REF!</v>
      </c>
      <c r="J341" s="490" t="s">
        <v>63</v>
      </c>
      <c r="K341" s="427" t="s">
        <v>20</v>
      </c>
      <c r="L341" s="414" t="s">
        <v>360</v>
      </c>
      <c r="M341" s="414" t="s">
        <v>825</v>
      </c>
      <c r="N341" s="407" t="s">
        <v>826</v>
      </c>
      <c r="O341" s="414" t="s">
        <v>25</v>
      </c>
      <c r="P341" s="414" t="s">
        <v>55</v>
      </c>
      <c r="Q341" s="414" t="s">
        <v>1330</v>
      </c>
    </row>
    <row r="342" hidden="1">
      <c r="A342" s="51">
        <v>681.0</v>
      </c>
      <c r="B342" s="51">
        <v>681.0</v>
      </c>
      <c r="C342" s="289"/>
      <c r="D342" s="289" t="str">
        <f>IFERROR(__xludf.DUMMYFUNCTION("if(B342&lt;=999,if(B342&lt;=99,IF(B342&lt;=9,join(,""000"",B342),join(,""00"",B342)),join(,""0"",B342)),B342)"),"0681")</f>
        <v>0681</v>
      </c>
      <c r="E342" s="326" t="s">
        <v>827</v>
      </c>
      <c r="F342" s="325" t="s">
        <v>35</v>
      </c>
      <c r="G342" s="289" t="s">
        <v>1698</v>
      </c>
      <c r="H342" s="408" t="s">
        <v>21</v>
      </c>
      <c r="I342" s="289">
        <v>9.919436362E9</v>
      </c>
      <c r="J342" s="413"/>
      <c r="K342" s="328" t="s">
        <v>20</v>
      </c>
      <c r="L342" s="414" t="s">
        <v>360</v>
      </c>
      <c r="M342" s="329" t="s">
        <v>1699</v>
      </c>
      <c r="N342" s="401" t="e">
        <v>#N/A</v>
      </c>
      <c r="O342" s="329" t="s">
        <v>25</v>
      </c>
      <c r="P342" s="329" t="s">
        <v>1700</v>
      </c>
      <c r="Q342" s="414" t="s">
        <v>1330</v>
      </c>
    </row>
    <row r="343">
      <c r="A343" s="33">
        <v>1025.0</v>
      </c>
      <c r="B343" s="34">
        <v>1025.0</v>
      </c>
      <c r="C343" s="260">
        <v>40.0</v>
      </c>
      <c r="D343" s="260">
        <f>IFERROR(__xludf.DUMMYFUNCTION("if(B343&lt;=999,if(B343&lt;=99,IF(B343&lt;=9,join(,""000"",B343),join(,""00"",B343)),join(,""0"",B343)),B343)"),1025.0)</f>
        <v>1025</v>
      </c>
      <c r="E343" s="270" t="s">
        <v>209</v>
      </c>
      <c r="F343" s="260" t="s">
        <v>20</v>
      </c>
      <c r="G343" s="260" t="s">
        <v>1444</v>
      </c>
      <c r="H343" s="410" t="s">
        <v>21</v>
      </c>
      <c r="I343" s="260" t="s">
        <v>1445</v>
      </c>
      <c r="J343" s="264" t="s">
        <v>22</v>
      </c>
      <c r="K343" s="411" t="str">
        <f>vlookup(D343,'Elligible Training Institutes R'!$D$9:$L$19,9,false)</f>
        <v>#N/A</v>
      </c>
      <c r="L343" s="401"/>
      <c r="M343" s="505" t="s">
        <v>1446</v>
      </c>
      <c r="N343" s="401">
        <v>18.0</v>
      </c>
      <c r="O343" s="414" t="s">
        <v>25</v>
      </c>
      <c r="P343" s="414" t="s">
        <v>55</v>
      </c>
      <c r="Q343" s="441" t="s">
        <v>1447</v>
      </c>
    </row>
    <row r="344">
      <c r="A344" s="324">
        <v>538.0</v>
      </c>
      <c r="B344" s="324">
        <v>538.0</v>
      </c>
      <c r="C344" s="260">
        <v>41.0</v>
      </c>
      <c r="D344" s="260" t="str">
        <f>IFERROR(__xludf.DUMMYFUNCTION("if(B344&lt;=999,if(B344&lt;=99,IF(B344&lt;=9,join(,""000"",B344),join(,""00"",B344)),join(,""0"",B344)),B344)"),"0538")</f>
        <v>0538</v>
      </c>
      <c r="E344" s="270" t="s">
        <v>323</v>
      </c>
      <c r="F344" s="260" t="s">
        <v>20</v>
      </c>
      <c r="G344" s="260" t="s">
        <v>1372</v>
      </c>
      <c r="H344" s="410" t="s">
        <v>21</v>
      </c>
      <c r="I344" s="260">
        <v>9.758307198E9</v>
      </c>
      <c r="J344" s="264" t="s">
        <v>22</v>
      </c>
      <c r="K344" s="411" t="str">
        <f>vlookup(D344,'Elligible Training Institutes R'!$D$9:$L$19,9,false)</f>
        <v>#N/A</v>
      </c>
      <c r="L344" s="422" t="s">
        <v>95</v>
      </c>
      <c r="M344" s="422"/>
      <c r="N344" s="422" t="e">
        <v>#N/A</v>
      </c>
      <c r="O344" s="422"/>
      <c r="P344" s="422"/>
      <c r="Q344" s="460" t="s">
        <v>1448</v>
      </c>
    </row>
    <row r="345">
      <c r="A345" s="51">
        <v>80.0</v>
      </c>
      <c r="B345" s="51">
        <v>80.0</v>
      </c>
      <c r="C345" s="260">
        <v>42.0</v>
      </c>
      <c r="D345" s="260" t="str">
        <f>IFERROR(__xludf.DUMMYFUNCTION("if(B345&lt;=999,if(B345&lt;=99,IF(B345&lt;=9,join(,""000"",B345),join(,""00"",B345)),join(,""0"",B345)),B345)"),"0080")</f>
        <v>0080</v>
      </c>
      <c r="E345" s="270" t="s">
        <v>832</v>
      </c>
      <c r="F345" s="260" t="s">
        <v>35</v>
      </c>
      <c r="G345" s="260" t="str">
        <f t="shared" ref="G345:G346" si="76">VLOOKUP(D345,'Copy of Form Responses; CCTV Infra 1'!$G$2:$I$675,2,false)</f>
        <v>#REF!</v>
      </c>
      <c r="H345" s="410" t="s">
        <v>21</v>
      </c>
      <c r="I345" s="260" t="str">
        <f t="shared" ref="I345:I346" si="77">VLOOKUP(D345,'Copy of Form Responses; CCTV Infra 1'!$G$2:$I$675,3,false)</f>
        <v>#REF!</v>
      </c>
      <c r="J345" s="264"/>
      <c r="K345" s="411" t="str">
        <f>vlookup(D345,'Elligible Training Institutes R'!$D$9:$L$19,9,false)</f>
        <v>#N/A</v>
      </c>
      <c r="L345" s="329"/>
      <c r="M345" s="329"/>
      <c r="N345" s="401" t="e">
        <v>#N/A</v>
      </c>
      <c r="O345" s="329"/>
      <c r="P345" s="329"/>
      <c r="Q345" s="412" t="s">
        <v>1449</v>
      </c>
    </row>
    <row r="346">
      <c r="A346" s="51">
        <v>1108.0</v>
      </c>
      <c r="B346" s="51">
        <v>1108.0</v>
      </c>
      <c r="C346" s="260">
        <v>43.0</v>
      </c>
      <c r="D346" s="260">
        <f>IFERROR(__xludf.DUMMYFUNCTION("if(B346&lt;=999,if(B346&lt;=99,IF(B346&lt;=9,join(,""000"",B346),join(,""00"",B346)),join(,""0"",B346)),B346)"),1108.0)</f>
        <v>1108</v>
      </c>
      <c r="E346" s="270" t="s">
        <v>833</v>
      </c>
      <c r="F346" s="260" t="s">
        <v>35</v>
      </c>
      <c r="G346" s="260" t="str">
        <f t="shared" si="76"/>
        <v>#REF!</v>
      </c>
      <c r="H346" s="410" t="s">
        <v>21</v>
      </c>
      <c r="I346" s="260" t="str">
        <f t="shared" si="77"/>
        <v>#REF!</v>
      </c>
      <c r="J346" s="264"/>
      <c r="K346" s="411" t="str">
        <f>vlookup(D346,'Elligible Training Institutes R'!$D$9:$L$19,9,false)</f>
        <v>#N/A</v>
      </c>
      <c r="L346" s="329"/>
      <c r="M346" s="329"/>
      <c r="N346" s="401" t="e">
        <v>#N/A</v>
      </c>
      <c r="O346" s="329"/>
      <c r="P346" s="329"/>
      <c r="Q346" s="412" t="s">
        <v>1449</v>
      </c>
    </row>
    <row r="347" hidden="1">
      <c r="A347" s="324">
        <v>236.0</v>
      </c>
      <c r="B347" s="324">
        <v>236.0</v>
      </c>
      <c r="C347" s="418">
        <v>177.0</v>
      </c>
      <c r="D347" s="418" t="str">
        <f>IFERROR(__xludf.DUMMYFUNCTION("if(B347&lt;=999,if(B347&lt;=99,IF(B347&lt;=9,join(,""000"",B347),join(,""00"",B347)),join(,""0"",B347)),B347)"),"0236")</f>
        <v>0236</v>
      </c>
      <c r="E347" s="417" t="s">
        <v>834</v>
      </c>
      <c r="F347" s="418" t="s">
        <v>20</v>
      </c>
      <c r="G347" s="418" t="s">
        <v>835</v>
      </c>
      <c r="H347" s="419" t="s">
        <v>21</v>
      </c>
      <c r="I347" s="418">
        <v>9.335764541E9</v>
      </c>
      <c r="J347" s="420" t="s">
        <v>22</v>
      </c>
      <c r="K347" s="421" t="s">
        <v>20</v>
      </c>
      <c r="L347" s="422" t="s">
        <v>95</v>
      </c>
      <c r="M347" s="422" t="s">
        <v>836</v>
      </c>
      <c r="N347" s="422" t="e">
        <v>#N/A</v>
      </c>
      <c r="O347" s="422" t="s">
        <v>25</v>
      </c>
      <c r="P347" s="422" t="s">
        <v>837</v>
      </c>
      <c r="Q347" s="423" t="s">
        <v>1330</v>
      </c>
    </row>
    <row r="348" hidden="1">
      <c r="A348" s="324">
        <v>220.0</v>
      </c>
      <c r="B348" s="415">
        <v>220.0</v>
      </c>
      <c r="C348" s="416">
        <v>178.0</v>
      </c>
      <c r="D348" s="418" t="str">
        <f>IFERROR(__xludf.DUMMYFUNCTION("if(B348&lt;=999,if(B348&lt;=99,IF(B348&lt;=9,join(,""000"",B348),join(,""00"",B348)),join(,""0"",B348)),B348)"),"0220")</f>
        <v>0220</v>
      </c>
      <c r="E348" s="417" t="s">
        <v>838</v>
      </c>
      <c r="F348" s="418" t="s">
        <v>20</v>
      </c>
      <c r="G348" s="418" t="str">
        <f t="shared" ref="G348:G349" si="78">VLOOKUP(D348,'Copy of Form Responses; CCTV Infra 1'!$G$2:$I$675,2,false)</f>
        <v>#REF!</v>
      </c>
      <c r="H348" s="419" t="s">
        <v>21</v>
      </c>
      <c r="I348" s="418" t="str">
        <f t="shared" ref="I348:I349" si="79">VLOOKUP(D348,'Copy of Form Responses; CCTV Infra 1'!$G$2:$I$675,3,false)</f>
        <v>#REF!</v>
      </c>
      <c r="J348" s="420" t="s">
        <v>22</v>
      </c>
      <c r="K348" s="421" t="s">
        <v>20</v>
      </c>
      <c r="L348" s="422" t="s">
        <v>95</v>
      </c>
      <c r="M348" s="422" t="s">
        <v>836</v>
      </c>
      <c r="N348" s="422">
        <v>25001.0</v>
      </c>
      <c r="O348" s="422" t="s">
        <v>25</v>
      </c>
      <c r="P348" s="422" t="s">
        <v>837</v>
      </c>
      <c r="Q348" s="423" t="s">
        <v>1330</v>
      </c>
    </row>
    <row r="349" hidden="1">
      <c r="A349" s="51">
        <v>120.0</v>
      </c>
      <c r="B349" s="51">
        <v>120.0</v>
      </c>
      <c r="C349" s="289"/>
      <c r="D349" s="289" t="str">
        <f>IFERROR(__xludf.DUMMYFUNCTION("if(B349&lt;=999,if(B349&lt;=99,IF(B349&lt;=9,join(,""000"",B349),join(,""00"",B349)),join(,""0"",B349)),B349)"),"0120")</f>
        <v>0120</v>
      </c>
      <c r="E349" s="326" t="s">
        <v>839</v>
      </c>
      <c r="F349" s="325" t="s">
        <v>20</v>
      </c>
      <c r="G349" s="289" t="str">
        <f t="shared" si="78"/>
        <v>#REF!</v>
      </c>
      <c r="H349" s="408" t="s">
        <v>21</v>
      </c>
      <c r="I349" s="289" t="str">
        <f t="shared" si="79"/>
        <v>#REF!</v>
      </c>
      <c r="J349" s="400" t="s">
        <v>1701</v>
      </c>
      <c r="K349" s="328" t="s">
        <v>20</v>
      </c>
      <c r="L349" s="329" t="s">
        <v>706</v>
      </c>
      <c r="M349" s="329" t="s">
        <v>1702</v>
      </c>
      <c r="N349" s="401">
        <v>80.0</v>
      </c>
      <c r="O349" s="329" t="s">
        <v>25</v>
      </c>
      <c r="P349" s="329" t="s">
        <v>222</v>
      </c>
      <c r="Q349" s="414" t="s">
        <v>1330</v>
      </c>
    </row>
    <row r="350" hidden="1">
      <c r="A350" s="51">
        <v>1118.0</v>
      </c>
      <c r="B350" s="51">
        <v>1118.0</v>
      </c>
      <c r="C350" s="289">
        <v>179.0</v>
      </c>
      <c r="D350" s="289">
        <f>IFERROR(__xludf.DUMMYFUNCTION("if(B350&lt;=999,if(B350&lt;=99,IF(B350&lt;=9,join(,""000"",B350),join(,""00"",B350)),join(,""0"",B350)),B350)"),1118.0)</f>
        <v>1118</v>
      </c>
      <c r="E350" s="301" t="s">
        <v>840</v>
      </c>
      <c r="F350" s="325" t="s">
        <v>20</v>
      </c>
      <c r="G350" s="289" t="s">
        <v>1703</v>
      </c>
      <c r="H350" s="408" t="s">
        <v>21</v>
      </c>
      <c r="I350" s="289">
        <v>8.795829494E9</v>
      </c>
      <c r="J350" s="400" t="s">
        <v>73</v>
      </c>
      <c r="K350" s="328" t="s">
        <v>20</v>
      </c>
      <c r="L350" s="329" t="s">
        <v>1704</v>
      </c>
      <c r="M350" s="329" t="s">
        <v>842</v>
      </c>
      <c r="N350" s="401" t="e">
        <v>#N/A</v>
      </c>
      <c r="O350" s="329" t="s">
        <v>25</v>
      </c>
      <c r="P350" s="329" t="s">
        <v>86</v>
      </c>
      <c r="Q350" s="414" t="s">
        <v>1330</v>
      </c>
    </row>
    <row r="351" hidden="1">
      <c r="A351" s="55">
        <v>213.0</v>
      </c>
      <c r="B351" s="55">
        <v>213.0</v>
      </c>
      <c r="C351" s="289">
        <v>180.0</v>
      </c>
      <c r="D351" s="298" t="str">
        <f>IFERROR(__xludf.DUMMYFUNCTION("if(B351&lt;=999,if(B351&lt;=99,IF(B351&lt;=9,join(,""000"",B351),join(,""00"",B351)),join(,""0"",B351)),B351)"),"0213")</f>
        <v>0213</v>
      </c>
      <c r="E351" s="425" t="s">
        <v>844</v>
      </c>
      <c r="F351" s="426" t="s">
        <v>20</v>
      </c>
      <c r="G351" s="298" t="str">
        <f t="shared" ref="G351:G363" si="80">VLOOKUP(D351,'Copy of Form Responses; CCTV Infra 1'!$G$2:$I$675,2,false)</f>
        <v>#REF!</v>
      </c>
      <c r="H351" s="426" t="s">
        <v>21</v>
      </c>
      <c r="I351" s="298" t="str">
        <f t="shared" ref="I351:I363" si="81">VLOOKUP(D351,'Copy of Form Responses; CCTV Infra 1'!$G$2:$I$675,3,false)</f>
        <v>#REF!</v>
      </c>
      <c r="J351" s="490" t="s">
        <v>73</v>
      </c>
      <c r="K351" s="427" t="s">
        <v>20</v>
      </c>
      <c r="L351" s="414" t="s">
        <v>330</v>
      </c>
      <c r="M351" s="414" t="s">
        <v>845</v>
      </c>
      <c r="N351" s="407">
        <v>37777.0</v>
      </c>
      <c r="O351" s="414" t="s">
        <v>25</v>
      </c>
      <c r="P351" s="414" t="s">
        <v>55</v>
      </c>
      <c r="Q351" s="414" t="s">
        <v>1330</v>
      </c>
    </row>
    <row r="352">
      <c r="A352" s="33">
        <v>832.0</v>
      </c>
      <c r="B352" s="34">
        <v>832.0</v>
      </c>
      <c r="C352" s="260">
        <v>44.0</v>
      </c>
      <c r="D352" s="260" t="str">
        <f>IFERROR(__xludf.DUMMYFUNCTION("if(B352&lt;=999,if(B352&lt;=99,IF(B352&lt;=9,join(,""000"",B352),join(,""00"",B352)),join(,""0"",B352)),B352)"),"0832")</f>
        <v>0832</v>
      </c>
      <c r="E352" s="270" t="s">
        <v>847</v>
      </c>
      <c r="F352" s="260" t="s">
        <v>35</v>
      </c>
      <c r="G352" s="260" t="str">
        <f t="shared" si="80"/>
        <v>#REF!</v>
      </c>
      <c r="H352" s="410" t="s">
        <v>21</v>
      </c>
      <c r="I352" s="260" t="str">
        <f t="shared" si="81"/>
        <v>#REF!</v>
      </c>
      <c r="J352" s="264"/>
      <c r="K352" s="411" t="str">
        <f>vlookup(D352,'Elligible Training Institutes R'!$D$9:$L$19,9,false)</f>
        <v>#N/A</v>
      </c>
      <c r="L352" s="401"/>
      <c r="M352" s="401"/>
      <c r="N352" s="401" t="e">
        <v>#N/A</v>
      </c>
      <c r="O352" s="401"/>
      <c r="P352" s="401"/>
      <c r="Q352" s="412" t="s">
        <v>1423</v>
      </c>
    </row>
    <row r="353">
      <c r="A353" s="33">
        <v>740.0</v>
      </c>
      <c r="B353" s="34">
        <v>740.0</v>
      </c>
      <c r="C353" s="260">
        <v>45.0</v>
      </c>
      <c r="D353" s="260" t="str">
        <f>IFERROR(__xludf.DUMMYFUNCTION("if(B353&lt;=999,if(B353&lt;=99,IF(B353&lt;=9,join(,""000"",B353),join(,""00"",B353)),join(,""0"",B353)),B353)"),"0740")</f>
        <v>0740</v>
      </c>
      <c r="E353" s="270" t="s">
        <v>848</v>
      </c>
      <c r="F353" s="260" t="s">
        <v>35</v>
      </c>
      <c r="G353" s="260" t="str">
        <f t="shared" si="80"/>
        <v>#REF!</v>
      </c>
      <c r="H353" s="410" t="s">
        <v>21</v>
      </c>
      <c r="I353" s="260" t="str">
        <f t="shared" si="81"/>
        <v>#REF!</v>
      </c>
      <c r="J353" s="264"/>
      <c r="K353" s="411" t="str">
        <f>vlookup(D353,'Elligible Training Institutes R'!$D$9:$L$19,9,false)</f>
        <v>#N/A</v>
      </c>
      <c r="L353" s="401"/>
      <c r="M353" s="401"/>
      <c r="N353" s="401" t="e">
        <v>#N/A</v>
      </c>
      <c r="O353" s="401"/>
      <c r="P353" s="401"/>
      <c r="Q353" s="412" t="s">
        <v>1423</v>
      </c>
    </row>
    <row r="354" hidden="1">
      <c r="A354" s="51">
        <v>950.0</v>
      </c>
      <c r="B354" s="51">
        <v>950.0</v>
      </c>
      <c r="C354" s="298">
        <v>181.0</v>
      </c>
      <c r="D354" s="289" t="str">
        <f>IFERROR(__xludf.DUMMYFUNCTION("if(B354&lt;=999,if(B354&lt;=99,IF(B354&lt;=9,join(,""000"",B354),join(,""00"",B354)),join(,""0"",B354)),B354)"),"0950")</f>
        <v>0950</v>
      </c>
      <c r="E354" s="301" t="s">
        <v>849</v>
      </c>
      <c r="F354" s="325" t="s">
        <v>20</v>
      </c>
      <c r="G354" s="289" t="str">
        <f t="shared" si="80"/>
        <v>#REF!</v>
      </c>
      <c r="H354" s="408" t="s">
        <v>21</v>
      </c>
      <c r="I354" s="289" t="str">
        <f t="shared" si="81"/>
        <v>#REF!</v>
      </c>
      <c r="J354" s="400" t="s">
        <v>77</v>
      </c>
      <c r="K354" s="328" t="s">
        <v>20</v>
      </c>
      <c r="L354" s="329" t="s">
        <v>95</v>
      </c>
      <c r="M354" s="329" t="s">
        <v>850</v>
      </c>
      <c r="N354" s="401">
        <v>8080.0</v>
      </c>
      <c r="O354" s="329" t="s">
        <v>25</v>
      </c>
      <c r="P354" s="329" t="s">
        <v>55</v>
      </c>
      <c r="Q354" s="414" t="s">
        <v>1330</v>
      </c>
    </row>
    <row r="355" hidden="1">
      <c r="A355" s="33">
        <v>1244.0</v>
      </c>
      <c r="B355" s="34">
        <v>1244.0</v>
      </c>
      <c r="C355" s="289">
        <v>182.0</v>
      </c>
      <c r="D355" s="289">
        <f>IFERROR(__xludf.DUMMYFUNCTION("if(B355&lt;=999,if(B355&lt;=99,IF(B355&lt;=9,join(,""000"",B355),join(,""00"",B355)),join(,""0"",B355)),B355)"),1244.0)</f>
        <v>1244</v>
      </c>
      <c r="E355" s="296" t="s">
        <v>851</v>
      </c>
      <c r="F355" s="289" t="s">
        <v>20</v>
      </c>
      <c r="G355" s="289" t="str">
        <f t="shared" si="80"/>
        <v>#REF!</v>
      </c>
      <c r="H355" s="399" t="s">
        <v>21</v>
      </c>
      <c r="I355" s="289" t="str">
        <f t="shared" si="81"/>
        <v>#REF!</v>
      </c>
      <c r="J355" s="400" t="s">
        <v>22</v>
      </c>
      <c r="K355" s="290" t="s">
        <v>20</v>
      </c>
      <c r="L355" s="438"/>
      <c r="M355" s="438" t="s">
        <v>638</v>
      </c>
      <c r="N355" s="401" t="e">
        <v>#N/A</v>
      </c>
      <c r="O355" s="438" t="s">
        <v>25</v>
      </c>
      <c r="P355" s="438" t="s">
        <v>86</v>
      </c>
      <c r="Q355" s="414" t="s">
        <v>1330</v>
      </c>
    </row>
    <row r="356">
      <c r="A356" s="51">
        <v>815.0</v>
      </c>
      <c r="B356" s="51">
        <v>815.0</v>
      </c>
      <c r="C356" s="260">
        <v>46.0</v>
      </c>
      <c r="D356" s="260" t="str">
        <f>IFERROR(__xludf.DUMMYFUNCTION("if(B356&lt;=999,if(B356&lt;=99,IF(B356&lt;=9,join(,""000"",B356),join(,""00"",B356)),join(,""0"",B356)),B356)"),"0815")</f>
        <v>0815</v>
      </c>
      <c r="E356" s="270" t="s">
        <v>801</v>
      </c>
      <c r="F356" s="260" t="s">
        <v>20</v>
      </c>
      <c r="G356" s="260" t="str">
        <f t="shared" si="80"/>
        <v>#REF!</v>
      </c>
      <c r="H356" s="410" t="s">
        <v>21</v>
      </c>
      <c r="I356" s="260" t="str">
        <f t="shared" si="81"/>
        <v>#REF!</v>
      </c>
      <c r="J356" s="264" t="s">
        <v>22</v>
      </c>
      <c r="K356" s="411" t="str">
        <f>vlookup(D356,'Elligible Training Institutes R'!$D$9:$L$19,9,false)</f>
        <v>#N/A</v>
      </c>
      <c r="L356" s="329" t="s">
        <v>28</v>
      </c>
      <c r="M356" s="291" t="s">
        <v>1705</v>
      </c>
      <c r="N356" s="401">
        <v>37777.0</v>
      </c>
      <c r="O356" s="447" t="s">
        <v>25</v>
      </c>
      <c r="P356" s="439" t="s">
        <v>86</v>
      </c>
      <c r="Q356" s="412" t="s">
        <v>1706</v>
      </c>
    </row>
    <row r="357" hidden="1">
      <c r="A357" s="324">
        <v>37.0</v>
      </c>
      <c r="B357" s="415">
        <v>37.0</v>
      </c>
      <c r="C357" s="418">
        <v>183.0</v>
      </c>
      <c r="D357" s="418" t="str">
        <f>IFERROR(__xludf.DUMMYFUNCTION("if(B357&lt;=999,if(B357&lt;=99,IF(B357&lt;=9,join(,""000"",B357),join(,""00"",B357)),join(,""0"",B357)),B357)"),"0037")</f>
        <v>0037</v>
      </c>
      <c r="E357" s="417" t="s">
        <v>853</v>
      </c>
      <c r="F357" s="418" t="s">
        <v>20</v>
      </c>
      <c r="G357" s="418" t="str">
        <f t="shared" si="80"/>
        <v>#REF!</v>
      </c>
      <c r="H357" s="419" t="s">
        <v>21</v>
      </c>
      <c r="I357" s="418" t="str">
        <f t="shared" si="81"/>
        <v>#REF!</v>
      </c>
      <c r="J357" s="420" t="s">
        <v>22</v>
      </c>
      <c r="K357" s="421" t="s">
        <v>20</v>
      </c>
      <c r="L357" s="422" t="s">
        <v>95</v>
      </c>
      <c r="M357" s="443" t="s">
        <v>854</v>
      </c>
      <c r="N357" s="422" t="e">
        <v>#N/A</v>
      </c>
      <c r="O357" s="444" t="s">
        <v>25</v>
      </c>
      <c r="P357" s="444" t="s">
        <v>855</v>
      </c>
      <c r="Q357" s="423" t="s">
        <v>1330</v>
      </c>
    </row>
    <row r="358" hidden="1">
      <c r="A358" s="324">
        <v>723.0</v>
      </c>
      <c r="B358" s="324">
        <v>723.0</v>
      </c>
      <c r="C358" s="416">
        <v>184.0</v>
      </c>
      <c r="D358" s="418" t="str">
        <f>IFERROR(__xludf.DUMMYFUNCTION("if(B358&lt;=999,if(B358&lt;=99,IF(B358&lt;=9,join(,""000"",B358),join(,""00"",B358)),join(,""0"",B358)),B358)"),"0723")</f>
        <v>0723</v>
      </c>
      <c r="E358" s="417" t="s">
        <v>856</v>
      </c>
      <c r="F358" s="418" t="s">
        <v>20</v>
      </c>
      <c r="G358" s="418" t="str">
        <f t="shared" si="80"/>
        <v>#REF!</v>
      </c>
      <c r="H358" s="419" t="s">
        <v>21</v>
      </c>
      <c r="I358" s="418" t="str">
        <f t="shared" si="81"/>
        <v>#REF!</v>
      </c>
      <c r="J358" s="420" t="s">
        <v>22</v>
      </c>
      <c r="K358" s="421" t="s">
        <v>20</v>
      </c>
      <c r="L358" s="422" t="s">
        <v>95</v>
      </c>
      <c r="M358" s="443" t="s">
        <v>854</v>
      </c>
      <c r="N358" s="422" t="e">
        <v>#N/A</v>
      </c>
      <c r="O358" s="444" t="s">
        <v>25</v>
      </c>
      <c r="P358" s="444" t="s">
        <v>855</v>
      </c>
      <c r="Q358" s="423" t="s">
        <v>1330</v>
      </c>
    </row>
    <row r="359" hidden="1">
      <c r="A359" s="51">
        <v>1086.0</v>
      </c>
      <c r="B359" s="51">
        <v>1086.0</v>
      </c>
      <c r="C359" s="289"/>
      <c r="D359" s="289">
        <f>IFERROR(__xludf.DUMMYFUNCTION("if(B359&lt;=999,if(B359&lt;=99,IF(B359&lt;=9,join(,""000"",B359),join(,""00"",B359)),join(,""0"",B359)),B359)"),1086.0)</f>
        <v>1086</v>
      </c>
      <c r="E359" s="326" t="s">
        <v>857</v>
      </c>
      <c r="F359" s="325" t="s">
        <v>20</v>
      </c>
      <c r="G359" s="289" t="str">
        <f t="shared" si="80"/>
        <v>#REF!</v>
      </c>
      <c r="H359" s="408" t="s">
        <v>21</v>
      </c>
      <c r="I359" s="289" t="str">
        <f t="shared" si="81"/>
        <v>#REF!</v>
      </c>
      <c r="J359" s="413" t="s">
        <v>77</v>
      </c>
      <c r="K359" s="328" t="s">
        <v>20</v>
      </c>
      <c r="L359" s="329" t="s">
        <v>95</v>
      </c>
      <c r="M359" s="329" t="s">
        <v>1707</v>
      </c>
      <c r="N359" s="401"/>
      <c r="O359" s="329" t="s">
        <v>25</v>
      </c>
      <c r="P359" s="329" t="s">
        <v>86</v>
      </c>
      <c r="Q359" s="414" t="s">
        <v>1330</v>
      </c>
    </row>
    <row r="360" hidden="1">
      <c r="A360" s="324">
        <v>71.0</v>
      </c>
      <c r="B360" s="324">
        <v>71.0</v>
      </c>
      <c r="C360" s="418"/>
      <c r="D360" s="418" t="str">
        <f>IFERROR(__xludf.DUMMYFUNCTION("if(B360&lt;=999,if(B360&lt;=99,IF(B360&lt;=9,join(,""000"",B360),join(,""00"",B360)),join(,""0"",B360)),B360)"),"0071")</f>
        <v>0071</v>
      </c>
      <c r="E360" s="442" t="s">
        <v>859</v>
      </c>
      <c r="F360" s="418" t="s">
        <v>20</v>
      </c>
      <c r="G360" s="418" t="str">
        <f t="shared" si="80"/>
        <v>#REF!</v>
      </c>
      <c r="H360" s="419" t="s">
        <v>21</v>
      </c>
      <c r="I360" s="418" t="str">
        <f t="shared" si="81"/>
        <v>#REF!</v>
      </c>
      <c r="J360" s="420" t="s">
        <v>77</v>
      </c>
      <c r="K360" s="421" t="s">
        <v>20</v>
      </c>
      <c r="L360" s="422" t="s">
        <v>95</v>
      </c>
      <c r="M360" s="422" t="s">
        <v>1707</v>
      </c>
      <c r="N360" s="422"/>
      <c r="O360" s="422" t="s">
        <v>25</v>
      </c>
      <c r="P360" s="422" t="s">
        <v>86</v>
      </c>
      <c r="Q360" s="423" t="s">
        <v>1330</v>
      </c>
    </row>
    <row r="361">
      <c r="A361" s="51">
        <v>358.0</v>
      </c>
      <c r="B361" s="51">
        <v>358.0</v>
      </c>
      <c r="C361" s="260">
        <v>47.0</v>
      </c>
      <c r="D361" s="260" t="str">
        <f>IFERROR(__xludf.DUMMYFUNCTION("if(B361&lt;=999,if(B361&lt;=99,IF(B361&lt;=9,join(,""000"",B361),join(,""00"",B361)),join(,""0"",B361)),B361)"),"0358")</f>
        <v>0358</v>
      </c>
      <c r="E361" s="270" t="s">
        <v>860</v>
      </c>
      <c r="F361" s="260" t="s">
        <v>35</v>
      </c>
      <c r="G361" s="260" t="str">
        <f t="shared" si="80"/>
        <v>#REF!</v>
      </c>
      <c r="H361" s="410" t="s">
        <v>21</v>
      </c>
      <c r="I361" s="260" t="str">
        <f t="shared" si="81"/>
        <v>#REF!</v>
      </c>
      <c r="J361" s="264"/>
      <c r="K361" s="411" t="str">
        <f>vlookup(D361,'Elligible Training Institutes R'!$D$9:$L$19,9,false)</f>
        <v>#N/A</v>
      </c>
      <c r="L361" s="329"/>
      <c r="M361" s="329"/>
      <c r="N361" s="401" t="e">
        <v>#N/A</v>
      </c>
      <c r="O361" s="329"/>
      <c r="P361" s="329"/>
      <c r="Q361" s="412" t="s">
        <v>1423</v>
      </c>
    </row>
    <row r="362" hidden="1">
      <c r="A362" s="51">
        <v>1240.0</v>
      </c>
      <c r="B362" s="51">
        <v>1240.0</v>
      </c>
      <c r="C362" s="289"/>
      <c r="D362" s="289">
        <f>IFERROR(__xludf.DUMMYFUNCTION("if(B362&lt;=999,if(B362&lt;=99,IF(B362&lt;=9,join(,""000"",B362),join(,""00"",B362)),join(,""0"",B362)),B362)"),1240.0)</f>
        <v>1240</v>
      </c>
      <c r="E362" s="326" t="s">
        <v>861</v>
      </c>
      <c r="F362" s="325" t="s">
        <v>20</v>
      </c>
      <c r="G362" s="289" t="str">
        <f t="shared" si="80"/>
        <v>#REF!</v>
      </c>
      <c r="H362" s="408" t="s">
        <v>21</v>
      </c>
      <c r="I362" s="289" t="str">
        <f t="shared" si="81"/>
        <v>#REF!</v>
      </c>
      <c r="J362" s="413" t="s">
        <v>77</v>
      </c>
      <c r="K362" s="328" t="s">
        <v>20</v>
      </c>
      <c r="L362" s="329" t="s">
        <v>23</v>
      </c>
      <c r="M362" s="291" t="s">
        <v>1708</v>
      </c>
      <c r="N362" s="401">
        <v>8008.0</v>
      </c>
      <c r="O362" s="439" t="s">
        <v>863</v>
      </c>
      <c r="P362" s="439" t="s">
        <v>864</v>
      </c>
      <c r="Q362" s="414" t="s">
        <v>1330</v>
      </c>
    </row>
    <row r="363" hidden="1">
      <c r="A363" s="51">
        <v>1446.0</v>
      </c>
      <c r="B363" s="51">
        <v>1446.0</v>
      </c>
      <c r="C363" s="289"/>
      <c r="D363" s="289">
        <f>IFERROR(__xludf.DUMMYFUNCTION("if(B363&lt;=999,if(B363&lt;=99,IF(B363&lt;=9,join(,""000"",B363),join(,""00"",B363)),join(,""0"",B363)),B363)"),1446.0)</f>
        <v>1446</v>
      </c>
      <c r="E363" s="326" t="s">
        <v>865</v>
      </c>
      <c r="F363" s="325" t="s">
        <v>20</v>
      </c>
      <c r="G363" s="289" t="str">
        <f t="shared" si="80"/>
        <v>#REF!</v>
      </c>
      <c r="H363" s="408" t="s">
        <v>21</v>
      </c>
      <c r="I363" s="289" t="str">
        <f t="shared" si="81"/>
        <v>#REF!</v>
      </c>
      <c r="J363" s="413" t="s">
        <v>77</v>
      </c>
      <c r="K363" s="328" t="s">
        <v>20</v>
      </c>
      <c r="L363" s="329" t="s">
        <v>23</v>
      </c>
      <c r="M363" s="291" t="s">
        <v>1708</v>
      </c>
      <c r="N363" s="401">
        <v>8008.0</v>
      </c>
      <c r="O363" s="439" t="s">
        <v>863</v>
      </c>
      <c r="P363" s="439" t="s">
        <v>864</v>
      </c>
      <c r="Q363" s="414" t="s">
        <v>1330</v>
      </c>
    </row>
    <row r="364" hidden="1">
      <c r="A364" s="51">
        <v>1146.0</v>
      </c>
      <c r="B364" s="51">
        <v>1146.0</v>
      </c>
      <c r="C364" s="289"/>
      <c r="D364" s="289">
        <f>IFERROR(__xludf.DUMMYFUNCTION("if(B364&lt;=999,if(B364&lt;=99,IF(B364&lt;=9,join(,""000"",B364),join(,""00"",B364)),join(,""0"",B364)),B364)"),1146.0)</f>
        <v>1146</v>
      </c>
      <c r="E364" s="326" t="s">
        <v>866</v>
      </c>
      <c r="F364" s="325" t="s">
        <v>20</v>
      </c>
      <c r="G364" s="289" t="s">
        <v>1709</v>
      </c>
      <c r="H364" s="408" t="s">
        <v>21</v>
      </c>
      <c r="I364" s="289">
        <v>9.41577719E9</v>
      </c>
      <c r="J364" s="413" t="s">
        <v>99</v>
      </c>
      <c r="K364" s="328" t="s">
        <v>20</v>
      </c>
      <c r="L364" s="329" t="s">
        <v>23</v>
      </c>
      <c r="M364" s="291" t="s">
        <v>1708</v>
      </c>
      <c r="N364" s="401">
        <v>8008.0</v>
      </c>
      <c r="O364" s="439" t="s">
        <v>863</v>
      </c>
      <c r="P364" s="439" t="s">
        <v>864</v>
      </c>
      <c r="Q364" s="414" t="s">
        <v>1330</v>
      </c>
    </row>
    <row r="365" hidden="1">
      <c r="A365" s="51">
        <v>60.0</v>
      </c>
      <c r="B365" s="51">
        <v>60.0</v>
      </c>
      <c r="C365" s="289"/>
      <c r="D365" s="289" t="str">
        <f>IFERROR(__xludf.DUMMYFUNCTION("if(B365&lt;=999,if(B365&lt;=99,IF(B365&lt;=9,join(,""000"",B365),join(,""00"",B365)),join(,""0"",B365)),B365)"),"0060")</f>
        <v>0060</v>
      </c>
      <c r="E365" s="326" t="s">
        <v>867</v>
      </c>
      <c r="F365" s="325" t="s">
        <v>20</v>
      </c>
      <c r="G365" s="289" t="s">
        <v>1710</v>
      </c>
      <c r="H365" s="408" t="s">
        <v>21</v>
      </c>
      <c r="I365" s="289" t="s">
        <v>1711</v>
      </c>
      <c r="J365" s="400" t="s">
        <v>22</v>
      </c>
      <c r="K365" s="328" t="s">
        <v>20</v>
      </c>
      <c r="L365" s="329" t="s">
        <v>28</v>
      </c>
      <c r="M365" s="329" t="s">
        <v>1712</v>
      </c>
      <c r="N365" s="401">
        <v>1080.0</v>
      </c>
      <c r="O365" s="447" t="s">
        <v>104</v>
      </c>
      <c r="P365" s="447" t="s">
        <v>1713</v>
      </c>
      <c r="Q365" s="414" t="s">
        <v>1330</v>
      </c>
    </row>
    <row r="366" hidden="1">
      <c r="A366" s="55">
        <v>1346.0</v>
      </c>
      <c r="B366" s="55">
        <v>1346.0</v>
      </c>
      <c r="C366" s="289">
        <v>185.0</v>
      </c>
      <c r="D366" s="298">
        <f>IFERROR(__xludf.DUMMYFUNCTION("if(B366&lt;=999,if(B366&lt;=99,IF(B366&lt;=9,join(,""000"",B366),join(,""00"",B366)),join(,""0"",B366)),B366)"),1346.0)</f>
        <v>1346</v>
      </c>
      <c r="E366" s="425" t="s">
        <v>868</v>
      </c>
      <c r="F366" s="426" t="s">
        <v>20</v>
      </c>
      <c r="G366" s="298" t="str">
        <f t="shared" ref="G366:G369" si="82">VLOOKUP(D366,'Copy of Form Responses; CCTV Infra 1'!$G$2:$I$675,2,false)</f>
        <v>#REF!</v>
      </c>
      <c r="H366" s="426" t="s">
        <v>21</v>
      </c>
      <c r="I366" s="298" t="str">
        <f t="shared" ref="I366:I369" si="83">VLOOKUP(D366,'Copy of Form Responses; CCTV Infra 1'!$G$2:$I$675,3,false)</f>
        <v>#REF!</v>
      </c>
      <c r="J366" s="405" t="s">
        <v>77</v>
      </c>
      <c r="K366" s="427" t="s">
        <v>20</v>
      </c>
      <c r="L366" s="414" t="s">
        <v>23</v>
      </c>
      <c r="M366" s="414" t="s">
        <v>869</v>
      </c>
      <c r="N366" s="407">
        <v>8000.0</v>
      </c>
      <c r="O366" s="447" t="s">
        <v>25</v>
      </c>
      <c r="P366" s="447" t="s">
        <v>1714</v>
      </c>
      <c r="Q366" s="414" t="s">
        <v>1330</v>
      </c>
    </row>
    <row r="367" hidden="1">
      <c r="A367" s="51">
        <v>831.0</v>
      </c>
      <c r="B367" s="51">
        <v>831.0</v>
      </c>
      <c r="C367" s="289"/>
      <c r="D367" s="289" t="str">
        <f>IFERROR(__xludf.DUMMYFUNCTION("if(B367&lt;=999,if(B367&lt;=99,IF(B367&lt;=9,join(,""000"",B367),join(,""00"",B367)),join(,""0"",B367)),B367)"),"0831")</f>
        <v>0831</v>
      </c>
      <c r="E367" s="326" t="s">
        <v>872</v>
      </c>
      <c r="F367" s="325" t="s">
        <v>20</v>
      </c>
      <c r="G367" s="289" t="str">
        <f t="shared" si="82"/>
        <v>#REF!</v>
      </c>
      <c r="H367" s="408" t="s">
        <v>21</v>
      </c>
      <c r="I367" s="289" t="str">
        <f t="shared" si="83"/>
        <v>#REF!</v>
      </c>
      <c r="J367" s="400" t="s">
        <v>34</v>
      </c>
      <c r="K367" s="328" t="s">
        <v>20</v>
      </c>
      <c r="L367" s="329" t="s">
        <v>95</v>
      </c>
      <c r="M367" s="291" t="s">
        <v>1715</v>
      </c>
      <c r="N367" s="401">
        <v>36666.0</v>
      </c>
      <c r="O367" s="439" t="s">
        <v>25</v>
      </c>
      <c r="P367" s="439" t="s">
        <v>86</v>
      </c>
      <c r="Q367" s="414" t="s">
        <v>1330</v>
      </c>
    </row>
    <row r="368" hidden="1">
      <c r="A368" s="51">
        <v>25.0</v>
      </c>
      <c r="B368" s="51">
        <v>25.0</v>
      </c>
      <c r="C368" s="289">
        <v>186.0</v>
      </c>
      <c r="D368" s="289" t="str">
        <f>IFERROR(__xludf.DUMMYFUNCTION("if(B368&lt;=999,if(B368&lt;=99,IF(B368&lt;=9,join(,""000"",B368),join(,""00"",B368)),join(,""0"",B368)),B368)"),"0025")</f>
        <v>0025</v>
      </c>
      <c r="E368" s="301" t="s">
        <v>875</v>
      </c>
      <c r="F368" s="325" t="s">
        <v>20</v>
      </c>
      <c r="G368" s="289" t="str">
        <f t="shared" si="82"/>
        <v>#REF!</v>
      </c>
      <c r="H368" s="408" t="s">
        <v>21</v>
      </c>
      <c r="I368" s="289" t="str">
        <f t="shared" si="83"/>
        <v>#REF!</v>
      </c>
      <c r="J368" s="400" t="s">
        <v>60</v>
      </c>
      <c r="K368" s="328" t="s">
        <v>20</v>
      </c>
      <c r="L368" s="438" t="s">
        <v>330</v>
      </c>
      <c r="M368" s="438" t="s">
        <v>876</v>
      </c>
      <c r="N368" s="401">
        <v>80.0</v>
      </c>
      <c r="O368" s="438" t="s">
        <v>25</v>
      </c>
      <c r="P368" s="438" t="s">
        <v>86</v>
      </c>
      <c r="Q368" s="414" t="s">
        <v>1330</v>
      </c>
    </row>
    <row r="369" hidden="1">
      <c r="A369" s="324">
        <v>1375.0</v>
      </c>
      <c r="B369" s="324">
        <v>1375.0</v>
      </c>
      <c r="C369" s="416">
        <v>187.0</v>
      </c>
      <c r="D369" s="418">
        <f>IFERROR(__xludf.DUMMYFUNCTION("if(B369&lt;=999,if(B369&lt;=99,IF(B369&lt;=9,join(,""000"",B369),join(,""00"",B369)),join(,""0"",B369)),B369)"),1375.0)</f>
        <v>1375</v>
      </c>
      <c r="E369" s="417" t="s">
        <v>877</v>
      </c>
      <c r="F369" s="418" t="s">
        <v>20</v>
      </c>
      <c r="G369" s="418" t="str">
        <f t="shared" si="82"/>
        <v>#REF!</v>
      </c>
      <c r="H369" s="419" t="s">
        <v>21</v>
      </c>
      <c r="I369" s="418" t="str">
        <f t="shared" si="83"/>
        <v>#REF!</v>
      </c>
      <c r="J369" s="420" t="s">
        <v>99</v>
      </c>
      <c r="K369" s="421" t="s">
        <v>20</v>
      </c>
      <c r="L369" s="422" t="s">
        <v>95</v>
      </c>
      <c r="M369" s="422" t="s">
        <v>878</v>
      </c>
      <c r="N369" s="422">
        <v>80.0</v>
      </c>
      <c r="O369" s="422" t="s">
        <v>25</v>
      </c>
      <c r="P369" s="422" t="s">
        <v>86</v>
      </c>
      <c r="Q369" s="423" t="s">
        <v>1330</v>
      </c>
    </row>
    <row r="370" hidden="1">
      <c r="A370" s="51">
        <v>1128.0</v>
      </c>
      <c r="B370" s="51">
        <v>1128.0</v>
      </c>
      <c r="C370" s="289"/>
      <c r="D370" s="289">
        <f>IFERROR(__xludf.DUMMYFUNCTION("if(B370&lt;=999,if(B370&lt;=99,IF(B370&lt;=9,join(,""000"",B370),join(,""00"",B370)),join(,""0"",B370)),B370)"),1128.0)</f>
        <v>1128</v>
      </c>
      <c r="E370" s="326" t="s">
        <v>879</v>
      </c>
      <c r="F370" s="325" t="s">
        <v>20</v>
      </c>
      <c r="G370" s="289" t="s">
        <v>1716</v>
      </c>
      <c r="H370" s="408"/>
      <c r="I370" s="289">
        <v>9.005088095E9</v>
      </c>
      <c r="J370" s="400"/>
      <c r="K370" s="328" t="s">
        <v>20</v>
      </c>
      <c r="L370" s="401" t="s">
        <v>330</v>
      </c>
      <c r="M370" s="329" t="s">
        <v>1717</v>
      </c>
      <c r="N370" s="401"/>
      <c r="O370" s="329" t="s">
        <v>25</v>
      </c>
      <c r="P370" s="329" t="s">
        <v>86</v>
      </c>
      <c r="Q370" s="414" t="s">
        <v>1330</v>
      </c>
    </row>
    <row r="371" hidden="1">
      <c r="A371" s="33">
        <v>631.0</v>
      </c>
      <c r="B371" s="34">
        <v>631.0</v>
      </c>
      <c r="C371" s="289">
        <v>188.0</v>
      </c>
      <c r="D371" s="289" t="str">
        <f>IFERROR(__xludf.DUMMYFUNCTION("if(B371&lt;=999,if(B371&lt;=99,IF(B371&lt;=9,join(,""000"",B371),join(,""00"",B371)),join(,""0"",B371)),B371)"),"0631")</f>
        <v>0631</v>
      </c>
      <c r="E371" s="296" t="s">
        <v>881</v>
      </c>
      <c r="F371" s="289" t="s">
        <v>20</v>
      </c>
      <c r="G371" s="289" t="str">
        <f t="shared" ref="G371:G374" si="84">VLOOKUP(D371,'Copy of Form Responses; CCTV Infra 1'!$G$2:$I$675,2,false)</f>
        <v>#REF!</v>
      </c>
      <c r="H371" s="399" t="s">
        <v>21</v>
      </c>
      <c r="I371" s="289" t="str">
        <f t="shared" ref="I371:I374" si="85">VLOOKUP(D371,'Copy of Form Responses; CCTV Infra 1'!$G$2:$I$675,3,false)</f>
        <v>#REF!</v>
      </c>
      <c r="J371" s="400" t="s">
        <v>101</v>
      </c>
      <c r="K371" s="290" t="s">
        <v>20</v>
      </c>
      <c r="L371" s="401" t="s">
        <v>330</v>
      </c>
      <c r="M371" s="401" t="s">
        <v>1718</v>
      </c>
      <c r="N371" s="401"/>
      <c r="O371" s="401" t="s">
        <v>25</v>
      </c>
      <c r="P371" s="401" t="s">
        <v>55</v>
      </c>
      <c r="Q371" s="414" t="s">
        <v>1330</v>
      </c>
    </row>
    <row r="372" hidden="1">
      <c r="A372" s="51">
        <v>1463.0</v>
      </c>
      <c r="B372" s="51">
        <v>1463.0</v>
      </c>
      <c r="C372" s="289">
        <v>189.0</v>
      </c>
      <c r="D372" s="289">
        <f>IFERROR(__xludf.DUMMYFUNCTION("if(B372&lt;=999,if(B372&lt;=99,IF(B372&lt;=9,join(,""000"",B372),join(,""00"",B372)),join(,""0"",B372)),B372)"),1463.0)</f>
        <v>1463</v>
      </c>
      <c r="E372" s="301" t="s">
        <v>882</v>
      </c>
      <c r="F372" s="325" t="s">
        <v>20</v>
      </c>
      <c r="G372" s="289" t="str">
        <f t="shared" si="84"/>
        <v>#REF!</v>
      </c>
      <c r="H372" s="408" t="s">
        <v>21</v>
      </c>
      <c r="I372" s="289" t="str">
        <f t="shared" si="85"/>
        <v>#REF!</v>
      </c>
      <c r="J372" s="400" t="s">
        <v>22</v>
      </c>
      <c r="K372" s="328" t="s">
        <v>20</v>
      </c>
      <c r="L372" s="329" t="s">
        <v>883</v>
      </c>
      <c r="M372" s="291" t="s">
        <v>884</v>
      </c>
      <c r="N372" s="401">
        <v>80554.0</v>
      </c>
      <c r="O372" s="329" t="s">
        <v>25</v>
      </c>
      <c r="P372" s="329" t="s">
        <v>55</v>
      </c>
      <c r="Q372" s="414" t="s">
        <v>1330</v>
      </c>
    </row>
    <row r="373">
      <c r="A373" s="51">
        <v>1363.0</v>
      </c>
      <c r="B373" s="51">
        <v>1363.0</v>
      </c>
      <c r="C373" s="260">
        <v>48.0</v>
      </c>
      <c r="D373" s="260">
        <f>IFERROR(__xludf.DUMMYFUNCTION("if(B373&lt;=999,if(B373&lt;=99,IF(B373&lt;=9,join(,""000"",B373),join(,""00"",B373)),join(,""0"",B373)),B373)"),1363.0)</f>
        <v>1363</v>
      </c>
      <c r="E373" s="270" t="s">
        <v>885</v>
      </c>
      <c r="F373" s="260" t="s">
        <v>35</v>
      </c>
      <c r="G373" s="260" t="str">
        <f t="shared" si="84"/>
        <v>#REF!</v>
      </c>
      <c r="H373" s="410" t="s">
        <v>21</v>
      </c>
      <c r="I373" s="260" t="str">
        <f t="shared" si="85"/>
        <v>#REF!</v>
      </c>
      <c r="J373" s="264"/>
      <c r="K373" s="411" t="str">
        <f>vlookup(D373,'Elligible Training Institutes R'!$D$9:$L$19,9,false)</f>
        <v>#N/A</v>
      </c>
      <c r="L373" s="329"/>
      <c r="M373" s="329"/>
      <c r="N373" s="401" t="e">
        <v>#N/A</v>
      </c>
      <c r="O373" s="329"/>
      <c r="P373" s="329"/>
      <c r="Q373" s="412" t="s">
        <v>1423</v>
      </c>
    </row>
    <row r="374" hidden="1">
      <c r="A374" s="51">
        <v>1029.0</v>
      </c>
      <c r="B374" s="51">
        <v>1029.0</v>
      </c>
      <c r="C374" s="298">
        <v>190.0</v>
      </c>
      <c r="D374" s="289">
        <f>IFERROR(__xludf.DUMMYFUNCTION("if(B374&lt;=999,if(B374&lt;=99,IF(B374&lt;=9,join(,""000"",B374),join(,""00"",B374)),join(,""0"",B374)),B374)"),1029.0)</f>
        <v>1029</v>
      </c>
      <c r="E374" s="301" t="s">
        <v>886</v>
      </c>
      <c r="F374" s="325" t="s">
        <v>20</v>
      </c>
      <c r="G374" s="289" t="str">
        <f t="shared" si="84"/>
        <v>#REF!</v>
      </c>
      <c r="H374" s="408" t="s">
        <v>21</v>
      </c>
      <c r="I374" s="289" t="str">
        <f t="shared" si="85"/>
        <v>#REF!</v>
      </c>
      <c r="J374" s="400" t="s">
        <v>22</v>
      </c>
      <c r="K374" s="328" t="s">
        <v>20</v>
      </c>
      <c r="L374" s="329" t="s">
        <v>28</v>
      </c>
      <c r="M374" s="291" t="s">
        <v>887</v>
      </c>
      <c r="N374" s="401">
        <v>80.0</v>
      </c>
      <c r="O374" s="447" t="s">
        <v>25</v>
      </c>
      <c r="P374" s="447" t="s">
        <v>163</v>
      </c>
      <c r="Q374" s="414" t="s">
        <v>1330</v>
      </c>
    </row>
    <row r="375" hidden="1">
      <c r="A375" s="51">
        <v>1350.0</v>
      </c>
      <c r="B375" s="51">
        <v>1350.0</v>
      </c>
      <c r="C375" s="289"/>
      <c r="D375" s="289">
        <f>IFERROR(__xludf.DUMMYFUNCTION("if(B375&lt;=999,if(B375&lt;=99,IF(B375&lt;=9,join(,""000"",B375),join(,""00"",B375)),join(,""0"",B375)),B375)"),1350.0)</f>
        <v>1350</v>
      </c>
      <c r="E375" s="326" t="s">
        <v>889</v>
      </c>
      <c r="F375" s="325" t="s">
        <v>20</v>
      </c>
      <c r="G375" s="289" t="s">
        <v>1719</v>
      </c>
      <c r="H375" s="408" t="s">
        <v>21</v>
      </c>
      <c r="I375" s="289">
        <v>9.305637315E9</v>
      </c>
      <c r="J375" s="413"/>
      <c r="K375" s="328" t="s">
        <v>20</v>
      </c>
      <c r="L375" s="329" t="s">
        <v>95</v>
      </c>
      <c r="M375" s="329" t="s">
        <v>1720</v>
      </c>
      <c r="N375" s="401">
        <v>32.0</v>
      </c>
      <c r="O375" s="329" t="s">
        <v>104</v>
      </c>
      <c r="P375" s="329" t="s">
        <v>893</v>
      </c>
      <c r="Q375" s="412" t="s">
        <v>87</v>
      </c>
    </row>
    <row r="376" hidden="1">
      <c r="A376" s="55">
        <v>1093.0</v>
      </c>
      <c r="B376" s="55">
        <v>1093.0</v>
      </c>
      <c r="C376" s="289">
        <v>191.0</v>
      </c>
      <c r="D376" s="298">
        <f>IFERROR(__xludf.DUMMYFUNCTION("if(B376&lt;=999,if(B376&lt;=99,IF(B376&lt;=9,join(,""000"",B376),join(,""00"",B376)),join(,""0"",B376)),B376)"),1093.0)</f>
        <v>1093</v>
      </c>
      <c r="E376" s="425" t="s">
        <v>890</v>
      </c>
      <c r="F376" s="426" t="s">
        <v>20</v>
      </c>
      <c r="G376" s="298" t="str">
        <f t="shared" ref="G376:G387" si="86">VLOOKUP(D376,'Copy of Form Responses; CCTV Infra 1'!$G$2:$I$675,2,false)</f>
        <v>#REF!</v>
      </c>
      <c r="H376" s="426" t="s">
        <v>21</v>
      </c>
      <c r="I376" s="298" t="str">
        <f t="shared" ref="I376:I387" si="87">VLOOKUP(D376,'Copy of Form Responses; CCTV Infra 1'!$G$2:$I$675,3,false)</f>
        <v>#REF!</v>
      </c>
      <c r="J376" s="405" t="s">
        <v>77</v>
      </c>
      <c r="K376" s="427" t="s">
        <v>20</v>
      </c>
      <c r="L376" s="414" t="s">
        <v>28</v>
      </c>
      <c r="M376" s="414" t="s">
        <v>891</v>
      </c>
      <c r="N376" s="407">
        <v>16.0</v>
      </c>
      <c r="O376" s="414" t="s">
        <v>892</v>
      </c>
      <c r="P376" s="414" t="s">
        <v>893</v>
      </c>
      <c r="Q376" s="414" t="s">
        <v>1330</v>
      </c>
    </row>
    <row r="377" hidden="1">
      <c r="A377" s="51">
        <v>1222.0</v>
      </c>
      <c r="B377" s="51">
        <v>1222.0</v>
      </c>
      <c r="C377" s="289">
        <v>192.0</v>
      </c>
      <c r="D377" s="289">
        <f>IFERROR(__xludf.DUMMYFUNCTION("if(B377&lt;=999,if(B377&lt;=99,IF(B377&lt;=9,join(,""000"",B377),join(,""00"",B377)),join(,""0"",B377)),B377)"),1222.0)</f>
        <v>1222</v>
      </c>
      <c r="E377" s="301" t="s">
        <v>894</v>
      </c>
      <c r="F377" s="325" t="s">
        <v>20</v>
      </c>
      <c r="G377" s="289" t="str">
        <f t="shared" si="86"/>
        <v>#REF!</v>
      </c>
      <c r="H377" s="408" t="s">
        <v>21</v>
      </c>
      <c r="I377" s="289" t="str">
        <f t="shared" si="87"/>
        <v>#REF!</v>
      </c>
      <c r="J377" s="400" t="s">
        <v>77</v>
      </c>
      <c r="K377" s="328" t="s">
        <v>20</v>
      </c>
      <c r="L377" s="329" t="s">
        <v>330</v>
      </c>
      <c r="M377" s="329" t="s">
        <v>895</v>
      </c>
      <c r="N377" s="401">
        <v>25001.0</v>
      </c>
      <c r="O377" s="329" t="s">
        <v>25</v>
      </c>
      <c r="P377" s="329" t="s">
        <v>86</v>
      </c>
      <c r="Q377" s="414" t="s">
        <v>1330</v>
      </c>
    </row>
    <row r="378" hidden="1">
      <c r="A378" s="51">
        <v>1023.0</v>
      </c>
      <c r="B378" s="51">
        <v>1023.0</v>
      </c>
      <c r="C378" s="298">
        <v>193.0</v>
      </c>
      <c r="D378" s="289">
        <f>IFERROR(__xludf.DUMMYFUNCTION("if(B378&lt;=999,if(B378&lt;=99,IF(B378&lt;=9,join(,""000"",B378),join(,""00"",B378)),join(,""0"",B378)),B378)"),1023.0)</f>
        <v>1023</v>
      </c>
      <c r="E378" s="301" t="s">
        <v>896</v>
      </c>
      <c r="F378" s="325" t="s">
        <v>20</v>
      </c>
      <c r="G378" s="289" t="str">
        <f t="shared" si="86"/>
        <v>#REF!</v>
      </c>
      <c r="H378" s="408" t="s">
        <v>21</v>
      </c>
      <c r="I378" s="289" t="str">
        <f t="shared" si="87"/>
        <v>#REF!</v>
      </c>
      <c r="J378" s="413" t="s">
        <v>22</v>
      </c>
      <c r="K378" s="328" t="s">
        <v>20</v>
      </c>
      <c r="L378" s="329" t="s">
        <v>360</v>
      </c>
      <c r="M378" s="329" t="s">
        <v>897</v>
      </c>
      <c r="N378" s="401">
        <v>25001.0</v>
      </c>
      <c r="O378" s="329" t="s">
        <v>25</v>
      </c>
      <c r="P378" s="329" t="s">
        <v>86</v>
      </c>
      <c r="Q378" s="414" t="s">
        <v>1330</v>
      </c>
    </row>
    <row r="379" hidden="1">
      <c r="A379" s="324">
        <v>1222.0</v>
      </c>
      <c r="B379" s="324">
        <v>1222.0</v>
      </c>
      <c r="C379" s="418">
        <v>194.0</v>
      </c>
      <c r="D379" s="418">
        <v>1222.0</v>
      </c>
      <c r="E379" s="417" t="s">
        <v>896</v>
      </c>
      <c r="F379" s="418" t="s">
        <v>20</v>
      </c>
      <c r="G379" s="418" t="str">
        <f t="shared" si="86"/>
        <v>#REF!</v>
      </c>
      <c r="H379" s="419" t="s">
        <v>21</v>
      </c>
      <c r="I379" s="418" t="str">
        <f t="shared" si="87"/>
        <v>#REF!</v>
      </c>
      <c r="J379" s="420" t="s">
        <v>22</v>
      </c>
      <c r="K379" s="421" t="s">
        <v>20</v>
      </c>
      <c r="L379" s="422" t="s">
        <v>360</v>
      </c>
      <c r="M379" s="422" t="s">
        <v>897</v>
      </c>
      <c r="N379" s="422">
        <v>25001.0</v>
      </c>
      <c r="O379" s="422" t="s">
        <v>25</v>
      </c>
      <c r="P379" s="422" t="s">
        <v>86</v>
      </c>
      <c r="Q379" s="423" t="s">
        <v>1330</v>
      </c>
    </row>
    <row r="380" hidden="1">
      <c r="A380" s="51">
        <v>1421.0</v>
      </c>
      <c r="B380" s="51">
        <v>1421.0</v>
      </c>
      <c r="C380" s="289">
        <v>195.0</v>
      </c>
      <c r="D380" s="289">
        <f>IFERROR(__xludf.DUMMYFUNCTION("if(B380&lt;=999,if(B380&lt;=99,IF(B380&lt;=9,join(,""000"",B380),join(,""00"",B380)),join(,""0"",B380)),B380)"),1421.0)</f>
        <v>1421</v>
      </c>
      <c r="E380" s="301" t="s">
        <v>898</v>
      </c>
      <c r="F380" s="325" t="s">
        <v>20</v>
      </c>
      <c r="G380" s="289" t="str">
        <f t="shared" si="86"/>
        <v>#REF!</v>
      </c>
      <c r="H380" s="408" t="s">
        <v>21</v>
      </c>
      <c r="I380" s="289" t="str">
        <f t="shared" si="87"/>
        <v>#REF!</v>
      </c>
      <c r="J380" s="400" t="s">
        <v>22</v>
      </c>
      <c r="K380" s="328" t="s">
        <v>20</v>
      </c>
      <c r="L380" s="329" t="s">
        <v>28</v>
      </c>
      <c r="M380" s="329" t="s">
        <v>1721</v>
      </c>
      <c r="N380" s="401"/>
      <c r="O380" s="329" t="s">
        <v>25</v>
      </c>
      <c r="P380" s="329" t="s">
        <v>1722</v>
      </c>
      <c r="Q380" s="414" t="s">
        <v>1330</v>
      </c>
    </row>
    <row r="381" hidden="1">
      <c r="A381" s="51">
        <v>1260.0</v>
      </c>
      <c r="B381" s="51">
        <v>1260.0</v>
      </c>
      <c r="C381" s="298">
        <v>196.0</v>
      </c>
      <c r="D381" s="289">
        <f>IFERROR(__xludf.DUMMYFUNCTION("if(B381&lt;=999,if(B381&lt;=99,IF(B381&lt;=9,join(,""000"",B381),join(,""00"",B381)),join(,""0"",B381)),B381)"),1260.0)</f>
        <v>1260</v>
      </c>
      <c r="E381" s="301" t="s">
        <v>900</v>
      </c>
      <c r="F381" s="325" t="s">
        <v>20</v>
      </c>
      <c r="G381" s="289" t="str">
        <f t="shared" si="86"/>
        <v>#REF!</v>
      </c>
      <c r="H381" s="408" t="s">
        <v>21</v>
      </c>
      <c r="I381" s="289" t="str">
        <f t="shared" si="87"/>
        <v>#REF!</v>
      </c>
      <c r="J381" s="400" t="s">
        <v>77</v>
      </c>
      <c r="K381" s="328" t="s">
        <v>20</v>
      </c>
      <c r="L381" s="329" t="s">
        <v>360</v>
      </c>
      <c r="M381" s="329" t="s">
        <v>901</v>
      </c>
      <c r="N381" s="401">
        <v>8000.0</v>
      </c>
      <c r="O381" s="329" t="s">
        <v>104</v>
      </c>
      <c r="P381" s="329" t="s">
        <v>902</v>
      </c>
      <c r="Q381" s="414" t="s">
        <v>1330</v>
      </c>
    </row>
    <row r="382" hidden="1">
      <c r="A382" s="33">
        <v>36.0</v>
      </c>
      <c r="B382" s="34">
        <v>36.0</v>
      </c>
      <c r="C382" s="289">
        <v>197.0</v>
      </c>
      <c r="D382" s="289" t="str">
        <f>IFERROR(__xludf.DUMMYFUNCTION("if(B382&lt;=999,if(B382&lt;=99,IF(B382&lt;=9,join(,""000"",B382),join(,""00"",B382)),join(,""0"",B382)),B382)"),"0036")</f>
        <v>0036</v>
      </c>
      <c r="E382" s="296" t="s">
        <v>903</v>
      </c>
      <c r="F382" s="289" t="s">
        <v>20</v>
      </c>
      <c r="G382" s="289" t="str">
        <f t="shared" si="86"/>
        <v>#REF!</v>
      </c>
      <c r="H382" s="399" t="s">
        <v>21</v>
      </c>
      <c r="I382" s="289" t="str">
        <f t="shared" si="87"/>
        <v>#REF!</v>
      </c>
      <c r="J382" s="400" t="s">
        <v>101</v>
      </c>
      <c r="K382" s="290" t="s">
        <v>20</v>
      </c>
      <c r="L382" s="401" t="s">
        <v>137</v>
      </c>
      <c r="M382" s="401" t="s">
        <v>904</v>
      </c>
      <c r="N382" s="401" t="s">
        <v>905</v>
      </c>
      <c r="O382" s="401" t="s">
        <v>906</v>
      </c>
      <c r="P382" s="401" t="s">
        <v>907</v>
      </c>
      <c r="Q382" s="414" t="s">
        <v>1330</v>
      </c>
    </row>
    <row r="383" hidden="1">
      <c r="A383" s="33">
        <v>796.0</v>
      </c>
      <c r="B383" s="34">
        <v>796.0</v>
      </c>
      <c r="C383" s="289">
        <v>198.0</v>
      </c>
      <c r="D383" s="289" t="str">
        <f>IFERROR(__xludf.DUMMYFUNCTION("if(B383&lt;=999,if(B383&lt;=99,IF(B383&lt;=9,join(,""000"",B383),join(,""00"",B383)),join(,""0"",B383)),B383)"),"0796")</f>
        <v>0796</v>
      </c>
      <c r="E383" s="296" t="s">
        <v>908</v>
      </c>
      <c r="F383" s="289" t="s">
        <v>20</v>
      </c>
      <c r="G383" s="289" t="str">
        <f t="shared" si="86"/>
        <v>#REF!</v>
      </c>
      <c r="H383" s="399" t="s">
        <v>21</v>
      </c>
      <c r="I383" s="289" t="str">
        <f t="shared" si="87"/>
        <v>#REF!</v>
      </c>
      <c r="J383" s="400" t="s">
        <v>22</v>
      </c>
      <c r="K383" s="290" t="s">
        <v>20</v>
      </c>
      <c r="L383" s="329" t="s">
        <v>28</v>
      </c>
      <c r="M383" s="291" t="s">
        <v>909</v>
      </c>
      <c r="N383" s="401" t="s">
        <v>910</v>
      </c>
      <c r="O383" s="329" t="s">
        <v>25</v>
      </c>
      <c r="P383" s="329" t="s">
        <v>25</v>
      </c>
      <c r="Q383" s="414" t="s">
        <v>1330</v>
      </c>
    </row>
    <row r="384" hidden="1">
      <c r="A384" s="55">
        <v>250.0</v>
      </c>
      <c r="B384" s="55">
        <v>250.0</v>
      </c>
      <c r="C384" s="298"/>
      <c r="D384" s="298" t="str">
        <f>IFERROR(__xludf.DUMMYFUNCTION("if(B384&lt;=999,if(B384&lt;=99,IF(B384&lt;=9,join(,""000"",B384),join(,""00"",B384)),join(,""0"",B384)),B384)"),"0250")</f>
        <v>0250</v>
      </c>
      <c r="E384" s="457" t="s">
        <v>912</v>
      </c>
      <c r="F384" s="426" t="s">
        <v>20</v>
      </c>
      <c r="G384" s="298" t="str">
        <f t="shared" si="86"/>
        <v>#REF!</v>
      </c>
      <c r="H384" s="426" t="s">
        <v>21</v>
      </c>
      <c r="I384" s="298" t="str">
        <f t="shared" si="87"/>
        <v>#REF!</v>
      </c>
      <c r="J384" s="490" t="s">
        <v>22</v>
      </c>
      <c r="K384" s="427" t="s">
        <v>20</v>
      </c>
      <c r="L384" s="414" t="s">
        <v>95</v>
      </c>
      <c r="M384" s="414" t="s">
        <v>913</v>
      </c>
      <c r="N384" s="407">
        <v>22.0</v>
      </c>
      <c r="O384" s="414" t="s">
        <v>25</v>
      </c>
      <c r="P384" s="414" t="s">
        <v>914</v>
      </c>
      <c r="Q384" s="414" t="s">
        <v>1330</v>
      </c>
    </row>
    <row r="385" hidden="1">
      <c r="A385" s="51">
        <v>1410.0</v>
      </c>
      <c r="B385" s="51">
        <v>1410.0</v>
      </c>
      <c r="C385" s="298">
        <v>199.0</v>
      </c>
      <c r="D385" s="289">
        <f>IFERROR(__xludf.DUMMYFUNCTION("if(B385&lt;=999,if(B385&lt;=99,IF(B385&lt;=9,join(,""000"",B385),join(,""00"",B385)),join(,""0"",B385)),B385)"),1410.0)</f>
        <v>1410</v>
      </c>
      <c r="E385" s="301" t="s">
        <v>915</v>
      </c>
      <c r="F385" s="325" t="s">
        <v>20</v>
      </c>
      <c r="G385" s="289" t="str">
        <f t="shared" si="86"/>
        <v>#REF!</v>
      </c>
      <c r="H385" s="408" t="s">
        <v>21</v>
      </c>
      <c r="I385" s="289" t="str">
        <f t="shared" si="87"/>
        <v>#REF!</v>
      </c>
      <c r="J385" s="413" t="s">
        <v>73</v>
      </c>
      <c r="K385" s="328" t="s">
        <v>20</v>
      </c>
      <c r="L385" s="329" t="s">
        <v>23</v>
      </c>
      <c r="M385" s="329" t="s">
        <v>1723</v>
      </c>
      <c r="N385" s="401" t="s">
        <v>916</v>
      </c>
      <c r="O385" s="329" t="s">
        <v>1724</v>
      </c>
      <c r="P385" s="329" t="s">
        <v>163</v>
      </c>
      <c r="Q385" s="414" t="s">
        <v>1330</v>
      </c>
    </row>
    <row r="386">
      <c r="A386" s="51">
        <v>794.0</v>
      </c>
      <c r="B386" s="51">
        <v>794.0</v>
      </c>
      <c r="C386" s="260">
        <v>49.0</v>
      </c>
      <c r="D386" s="260" t="str">
        <f>IFERROR(__xludf.DUMMYFUNCTION("if(B386&lt;=999,if(B386&lt;=99,IF(B386&lt;=9,join(,""000"",B386),join(,""00"",B386)),join(,""0"",B386)),B386)"),"0794")</f>
        <v>0794</v>
      </c>
      <c r="E386" s="270" t="s">
        <v>1219</v>
      </c>
      <c r="F386" s="260" t="s">
        <v>20</v>
      </c>
      <c r="G386" s="260" t="str">
        <f t="shared" si="86"/>
        <v>#REF!</v>
      </c>
      <c r="H386" s="410" t="s">
        <v>21</v>
      </c>
      <c r="I386" s="260" t="str">
        <f t="shared" si="87"/>
        <v>#REF!</v>
      </c>
      <c r="J386" s="264" t="s">
        <v>34</v>
      </c>
      <c r="K386" s="411" t="str">
        <f>vlookup(D386,'Elligible Training Institutes R'!$D$9:$L$19,9,false)</f>
        <v>#N/A</v>
      </c>
      <c r="L386" s="329"/>
      <c r="M386" s="329"/>
      <c r="N386" s="401"/>
      <c r="O386" s="329"/>
      <c r="P386" s="506"/>
      <c r="Q386" s="412" t="s">
        <v>1725</v>
      </c>
    </row>
    <row r="387">
      <c r="A387" s="33">
        <v>1266.0</v>
      </c>
      <c r="B387" s="34">
        <v>1266.0</v>
      </c>
      <c r="C387" s="260">
        <v>50.0</v>
      </c>
      <c r="D387" s="260">
        <f>IFERROR(__xludf.DUMMYFUNCTION("if(B387&lt;=999,if(B387&lt;=99,IF(B387&lt;=9,join(,""000"",B387),join(,""00"",B387)),join(,""0"",B387)),B387)"),1266.0)</f>
        <v>1266</v>
      </c>
      <c r="E387" s="270" t="s">
        <v>919</v>
      </c>
      <c r="F387" s="260" t="s">
        <v>35</v>
      </c>
      <c r="G387" s="260" t="str">
        <f t="shared" si="86"/>
        <v>#REF!</v>
      </c>
      <c r="H387" s="410" t="s">
        <v>21</v>
      </c>
      <c r="I387" s="260" t="str">
        <f t="shared" si="87"/>
        <v>#REF!</v>
      </c>
      <c r="J387" s="264"/>
      <c r="K387" s="411" t="str">
        <f>vlookup(D387,'Elligible Training Institutes R'!$D$9:$L$19,9,false)</f>
        <v>#N/A</v>
      </c>
      <c r="L387" s="401"/>
      <c r="M387" s="401"/>
      <c r="N387" s="401" t="e">
        <v>#N/A</v>
      </c>
      <c r="O387" s="401"/>
      <c r="P387" s="401"/>
      <c r="Q387" s="412" t="s">
        <v>1423</v>
      </c>
    </row>
    <row r="388">
      <c r="A388" s="51">
        <v>70.0</v>
      </c>
      <c r="B388" s="51">
        <v>70.0</v>
      </c>
      <c r="C388" s="260">
        <v>51.0</v>
      </c>
      <c r="D388" s="260" t="str">
        <f>IFERROR(__xludf.DUMMYFUNCTION("if(B388&lt;=999,if(B388&lt;=99,IF(B388&lt;=9,join(,""000"",B388),join(,""00"",B388)),join(,""0"",B388)),B388)"),"0070")</f>
        <v>0070</v>
      </c>
      <c r="E388" s="270" t="s">
        <v>920</v>
      </c>
      <c r="F388" s="260" t="s">
        <v>20</v>
      </c>
      <c r="G388" s="260" t="s">
        <v>1375</v>
      </c>
      <c r="H388" s="410" t="s">
        <v>21</v>
      </c>
      <c r="I388" s="260">
        <v>9.389598748E9</v>
      </c>
      <c r="J388" s="264"/>
      <c r="K388" s="411" t="str">
        <f>vlookup(D388,'Elligible Training Institutes R'!$D$9:$L$19,9,false)</f>
        <v>#N/A</v>
      </c>
      <c r="L388" s="329" t="s">
        <v>28</v>
      </c>
      <c r="M388" s="329"/>
      <c r="N388" s="401" t="e">
        <v>#N/A</v>
      </c>
      <c r="O388" s="329"/>
      <c r="P388" s="329"/>
      <c r="Q388" s="412" t="s">
        <v>43</v>
      </c>
    </row>
    <row r="389" hidden="1">
      <c r="A389" s="51">
        <v>85.0</v>
      </c>
      <c r="B389" s="51">
        <v>85.0</v>
      </c>
      <c r="C389" s="289"/>
      <c r="D389" s="289" t="str">
        <f>IFERROR(__xludf.DUMMYFUNCTION("if(B389&lt;=999,if(B389&lt;=99,IF(B389&lt;=9,join(,""000"",B389),join(,""00"",B389)),join(,""0"",B389)),B389)"),"0085")</f>
        <v>0085</v>
      </c>
      <c r="E389" s="326" t="s">
        <v>921</v>
      </c>
      <c r="F389" s="325" t="s">
        <v>35</v>
      </c>
      <c r="G389" s="289" t="s">
        <v>1726</v>
      </c>
      <c r="H389" s="408" t="s">
        <v>21</v>
      </c>
      <c r="I389" s="289">
        <v>9.145024223E9</v>
      </c>
      <c r="J389" s="413"/>
      <c r="K389" s="328" t="s">
        <v>20</v>
      </c>
      <c r="L389" s="329" t="s">
        <v>28</v>
      </c>
      <c r="M389" s="329" t="s">
        <v>1727</v>
      </c>
      <c r="N389" s="401"/>
      <c r="O389" s="329" t="s">
        <v>25</v>
      </c>
      <c r="P389" s="329" t="s">
        <v>55</v>
      </c>
      <c r="Q389" s="414" t="s">
        <v>1330</v>
      </c>
    </row>
    <row r="390" hidden="1">
      <c r="A390" s="33">
        <v>1078.0</v>
      </c>
      <c r="B390" s="34">
        <v>1078.0</v>
      </c>
      <c r="C390" s="289">
        <v>200.0</v>
      </c>
      <c r="D390" s="289">
        <f>IFERROR(__xludf.DUMMYFUNCTION("if(B390&lt;=999,if(B390&lt;=99,IF(B390&lt;=9,join(,""000"",B390),join(,""00"",B390)),join(,""0"",B390)),B390)"),1078.0)</f>
        <v>1078</v>
      </c>
      <c r="E390" s="296" t="s">
        <v>922</v>
      </c>
      <c r="F390" s="289" t="s">
        <v>20</v>
      </c>
      <c r="G390" s="289" t="str">
        <f>VLOOKUP(D390,'Copy of Form Responses; CCTV Infra 1'!$G$2:$I$675,2,false)</f>
        <v>#REF!</v>
      </c>
      <c r="H390" s="399" t="s">
        <v>21</v>
      </c>
      <c r="I390" s="289" t="str">
        <f>VLOOKUP(D390,'Copy of Form Responses; CCTV Infra 1'!$G$2:$I$675,3,false)</f>
        <v>#REF!</v>
      </c>
      <c r="J390" s="400" t="s">
        <v>1701</v>
      </c>
      <c r="K390" s="265" t="s">
        <v>20</v>
      </c>
      <c r="L390" s="401" t="s">
        <v>923</v>
      </c>
      <c r="M390" s="401" t="s">
        <v>924</v>
      </c>
      <c r="N390" s="401"/>
      <c r="O390" s="401" t="s">
        <v>25</v>
      </c>
      <c r="P390" s="401" t="s">
        <v>55</v>
      </c>
      <c r="Q390" s="414" t="s">
        <v>1330</v>
      </c>
    </row>
    <row r="391" hidden="1">
      <c r="A391" s="51">
        <v>1171.0</v>
      </c>
      <c r="B391" s="51">
        <v>1171.0</v>
      </c>
      <c r="C391" s="289"/>
      <c r="D391" s="289">
        <f>IFERROR(__xludf.DUMMYFUNCTION("if(B391&lt;=999,if(B391&lt;=99,IF(B391&lt;=9,join(,""000"",B391),join(,""00"",B391)),join(,""0"",B391)),B391)"),1171.0)</f>
        <v>1171</v>
      </c>
      <c r="E391" s="326" t="s">
        <v>926</v>
      </c>
      <c r="F391" s="325" t="s">
        <v>20</v>
      </c>
      <c r="G391" s="289" t="s">
        <v>1728</v>
      </c>
      <c r="H391" s="408" t="s">
        <v>21</v>
      </c>
      <c r="I391" s="289">
        <v>9.670111127E9</v>
      </c>
      <c r="J391" s="400" t="s">
        <v>34</v>
      </c>
      <c r="K391" s="328" t="s">
        <v>20</v>
      </c>
      <c r="L391" s="329" t="s">
        <v>23</v>
      </c>
      <c r="M391" s="329" t="s">
        <v>1729</v>
      </c>
      <c r="N391" s="401"/>
      <c r="O391" s="329" t="s">
        <v>25</v>
      </c>
      <c r="P391" s="329" t="s">
        <v>1730</v>
      </c>
      <c r="Q391" s="414" t="s">
        <v>1330</v>
      </c>
    </row>
    <row r="392" hidden="1">
      <c r="A392" s="51">
        <v>646.0</v>
      </c>
      <c r="B392" s="51">
        <v>646.0</v>
      </c>
      <c r="C392" s="289">
        <v>201.0</v>
      </c>
      <c r="D392" s="289" t="str">
        <f>IFERROR(__xludf.DUMMYFUNCTION("if(B392&lt;=999,if(B392&lt;=99,IF(B392&lt;=9,join(,""000"",B392),join(,""00"",B392)),join(,""0"",B392)),B392)"),"0646")</f>
        <v>0646</v>
      </c>
      <c r="E392" s="301" t="s">
        <v>928</v>
      </c>
      <c r="F392" s="325" t="s">
        <v>20</v>
      </c>
      <c r="G392" s="289" t="s">
        <v>1731</v>
      </c>
      <c r="H392" s="408" t="s">
        <v>21</v>
      </c>
      <c r="I392" s="289">
        <v>9.415773575E9</v>
      </c>
      <c r="J392" s="400" t="s">
        <v>22</v>
      </c>
      <c r="K392" s="328" t="s">
        <v>20</v>
      </c>
      <c r="L392" s="329" t="s">
        <v>95</v>
      </c>
      <c r="M392" s="329" t="s">
        <v>1732</v>
      </c>
      <c r="N392" s="401" t="e">
        <v>#N/A</v>
      </c>
      <c r="O392" s="329" t="s">
        <v>25</v>
      </c>
      <c r="P392" s="329" t="s">
        <v>1733</v>
      </c>
      <c r="Q392" s="414" t="s">
        <v>1330</v>
      </c>
    </row>
    <row r="393">
      <c r="A393" s="51">
        <v>196.0</v>
      </c>
      <c r="B393" s="51">
        <v>196.0</v>
      </c>
      <c r="C393" s="260">
        <v>52.0</v>
      </c>
      <c r="D393" s="260" t="str">
        <f>IFERROR(__xludf.DUMMYFUNCTION("if(B393&lt;=999,if(B393&lt;=99,IF(B393&lt;=9,join(,""000"",B393),join(,""00"",B393)),join(,""0"",B393)),B393)"),"0196")</f>
        <v>0196</v>
      </c>
      <c r="E393" s="270" t="s">
        <v>265</v>
      </c>
      <c r="F393" s="260" t="s">
        <v>20</v>
      </c>
      <c r="G393" s="260" t="str">
        <f>VLOOKUP(D393,'Copy of Form Responses; CCTV Infra 1'!$G$2:$I$675,2,false)</f>
        <v>#REF!</v>
      </c>
      <c r="H393" s="410" t="s">
        <v>21</v>
      </c>
      <c r="I393" s="260" t="str">
        <f>VLOOKUP(D393,'Copy of Form Responses; CCTV Infra 1'!$G$2:$I$675,3,false)</f>
        <v>#REF!</v>
      </c>
      <c r="J393" s="264" t="s">
        <v>77</v>
      </c>
      <c r="K393" s="411" t="str">
        <f>vlookup(D393,'Elligible Training Institutes R'!$D$9:$L$19,9,false)</f>
        <v>#N/A</v>
      </c>
      <c r="L393" s="329" t="s">
        <v>23</v>
      </c>
      <c r="M393" s="329" t="s">
        <v>1455</v>
      </c>
      <c r="N393" s="401" t="s">
        <v>266</v>
      </c>
      <c r="O393" s="329" t="s">
        <v>1456</v>
      </c>
      <c r="P393" s="329" t="s">
        <v>1456</v>
      </c>
      <c r="Q393" s="412" t="s">
        <v>87</v>
      </c>
    </row>
    <row r="394" hidden="1">
      <c r="A394" s="51">
        <v>65.0</v>
      </c>
      <c r="B394" s="51">
        <v>65.0</v>
      </c>
      <c r="C394" s="289"/>
      <c r="D394" s="289" t="str">
        <f>IFERROR(__xludf.DUMMYFUNCTION("if(B394&lt;=999,if(B394&lt;=99,IF(B394&lt;=9,join(,""000"",B394),join(,""00"",B394)),join(,""0"",B394)),B394)"),"0065")</f>
        <v>0065</v>
      </c>
      <c r="E394" s="326" t="s">
        <v>930</v>
      </c>
      <c r="F394" s="325" t="s">
        <v>35</v>
      </c>
      <c r="G394" s="289" t="s">
        <v>1698</v>
      </c>
      <c r="H394" s="408" t="s">
        <v>21</v>
      </c>
      <c r="I394" s="289">
        <v>9.919436362E9</v>
      </c>
      <c r="J394" s="413"/>
      <c r="K394" s="328" t="s">
        <v>20</v>
      </c>
      <c r="L394" s="401" t="s">
        <v>23</v>
      </c>
      <c r="M394" s="329" t="s">
        <v>1734</v>
      </c>
      <c r="N394" s="401"/>
      <c r="O394" s="329" t="s">
        <v>25</v>
      </c>
      <c r="P394" s="329" t="s">
        <v>1735</v>
      </c>
      <c r="Q394" s="414" t="s">
        <v>1330</v>
      </c>
    </row>
    <row r="395" hidden="1">
      <c r="A395" s="33">
        <v>88.0</v>
      </c>
      <c r="B395" s="34">
        <v>88.0</v>
      </c>
      <c r="C395" s="289"/>
      <c r="D395" s="289" t="str">
        <f>IFERROR(__xludf.DUMMYFUNCTION("if(B395&lt;=999,if(B395&lt;=99,IF(B395&lt;=9,join(,""000"",B395),join(,""00"",B395)),join(,""0"",B395)),B395)"),"0088")</f>
        <v>0088</v>
      </c>
      <c r="E395" s="297" t="s">
        <v>931</v>
      </c>
      <c r="F395" s="289" t="s">
        <v>20</v>
      </c>
      <c r="G395" s="289" t="s">
        <v>1698</v>
      </c>
      <c r="H395" s="399" t="s">
        <v>21</v>
      </c>
      <c r="I395" s="289">
        <v>9.919436362E9</v>
      </c>
      <c r="J395" s="400"/>
      <c r="K395" s="290" t="s">
        <v>20</v>
      </c>
      <c r="L395" s="401" t="s">
        <v>23</v>
      </c>
      <c r="M395" s="445" t="s">
        <v>1734</v>
      </c>
      <c r="N395" s="401"/>
      <c r="O395" s="329" t="s">
        <v>25</v>
      </c>
      <c r="P395" s="401" t="s">
        <v>1735</v>
      </c>
      <c r="Q395" s="414" t="s">
        <v>1330</v>
      </c>
    </row>
    <row r="396" hidden="1">
      <c r="A396" s="51">
        <v>632.0</v>
      </c>
      <c r="B396" s="51">
        <v>632.0</v>
      </c>
      <c r="C396" s="298">
        <v>202.0</v>
      </c>
      <c r="D396" s="289" t="str">
        <f>IFERROR(__xludf.DUMMYFUNCTION("if(B396&lt;=999,if(B396&lt;=99,IF(B396&lt;=9,join(,""000"",B396),join(,""00"",B396)),join(,""0"",B396)),B396)"),"0632")</f>
        <v>0632</v>
      </c>
      <c r="E396" s="301" t="s">
        <v>932</v>
      </c>
      <c r="F396" s="325" t="s">
        <v>20</v>
      </c>
      <c r="G396" s="289" t="str">
        <f t="shared" ref="G396:G408" si="88">VLOOKUP(D396,'Copy of Form Responses; CCTV Infra 1'!$G$2:$I$675,2,false)</f>
        <v>#REF!</v>
      </c>
      <c r="H396" s="408" t="s">
        <v>21</v>
      </c>
      <c r="I396" s="289" t="str">
        <f t="shared" ref="I396:I408" si="89">VLOOKUP(D396,'Copy of Form Responses; CCTV Infra 1'!$G$2:$I$675,3,false)</f>
        <v>#REF!</v>
      </c>
      <c r="J396" s="413" t="s">
        <v>99</v>
      </c>
      <c r="K396" s="328" t="s">
        <v>20</v>
      </c>
      <c r="L396" s="329" t="s">
        <v>28</v>
      </c>
      <c r="M396" s="329" t="s">
        <v>1736</v>
      </c>
      <c r="N396" s="401" t="s">
        <v>244</v>
      </c>
      <c r="O396" s="329" t="s">
        <v>1737</v>
      </c>
      <c r="P396" s="329" t="s">
        <v>1738</v>
      </c>
      <c r="Q396" s="414" t="s">
        <v>1330</v>
      </c>
    </row>
    <row r="397" hidden="1">
      <c r="A397" s="51">
        <v>800.0</v>
      </c>
      <c r="B397" s="51">
        <v>800.0</v>
      </c>
      <c r="C397" s="289">
        <v>203.0</v>
      </c>
      <c r="D397" s="289" t="str">
        <f>IFERROR(__xludf.DUMMYFUNCTION("if(B397&lt;=999,if(B397&lt;=99,IF(B397&lt;=9,join(,""000"",B397),join(,""00"",B397)),join(,""0"",B397)),B397)"),"0800")</f>
        <v>0800</v>
      </c>
      <c r="E397" s="301" t="s">
        <v>934</v>
      </c>
      <c r="F397" s="325" t="s">
        <v>20</v>
      </c>
      <c r="G397" s="289" t="str">
        <f t="shared" si="88"/>
        <v>#REF!</v>
      </c>
      <c r="H397" s="408" t="s">
        <v>21</v>
      </c>
      <c r="I397" s="289" t="str">
        <f t="shared" si="89"/>
        <v>#REF!</v>
      </c>
      <c r="J397" s="400" t="s">
        <v>77</v>
      </c>
      <c r="K397" s="328" t="s">
        <v>20</v>
      </c>
      <c r="L397" s="329" t="s">
        <v>23</v>
      </c>
      <c r="M397" s="329" t="s">
        <v>935</v>
      </c>
      <c r="N397" s="401">
        <v>80.0</v>
      </c>
      <c r="O397" s="329" t="s">
        <v>25</v>
      </c>
      <c r="P397" s="329" t="s">
        <v>694</v>
      </c>
      <c r="Q397" s="414" t="s">
        <v>1330</v>
      </c>
    </row>
    <row r="398" hidden="1">
      <c r="A398" s="55">
        <v>619.0</v>
      </c>
      <c r="B398" s="55">
        <v>619.0</v>
      </c>
      <c r="C398" s="298"/>
      <c r="D398" s="298" t="str">
        <f>IFERROR(__xludf.DUMMYFUNCTION("if(B398&lt;=999,if(B398&lt;=99,IF(B398&lt;=9,join(,""000"",B398),join(,""00"",B398)),join(,""0"",B398)),B398)"),"0619")</f>
        <v>0619</v>
      </c>
      <c r="E398" s="457" t="s">
        <v>936</v>
      </c>
      <c r="F398" s="426" t="s">
        <v>20</v>
      </c>
      <c r="G398" s="298" t="str">
        <f t="shared" si="88"/>
        <v>#REF!</v>
      </c>
      <c r="H398" s="426" t="s">
        <v>21</v>
      </c>
      <c r="I398" s="298" t="str">
        <f t="shared" si="89"/>
        <v>#REF!</v>
      </c>
      <c r="J398" s="405" t="s">
        <v>34</v>
      </c>
      <c r="K398" s="427" t="s">
        <v>20</v>
      </c>
      <c r="L398" s="401" t="s">
        <v>923</v>
      </c>
      <c r="M398" s="414" t="s">
        <v>1739</v>
      </c>
      <c r="N398" s="407"/>
      <c r="O398" s="414" t="s">
        <v>25</v>
      </c>
      <c r="P398" s="414" t="s">
        <v>55</v>
      </c>
      <c r="Q398" s="414" t="s">
        <v>1330</v>
      </c>
    </row>
    <row r="399" hidden="1">
      <c r="A399" s="51">
        <v>639.0</v>
      </c>
      <c r="B399" s="51">
        <v>639.0</v>
      </c>
      <c r="C399" s="289">
        <v>204.0</v>
      </c>
      <c r="D399" s="289" t="str">
        <f>IFERROR(__xludf.DUMMYFUNCTION("if(B399&lt;=999,if(B399&lt;=99,IF(B399&lt;=9,join(,""000"",B399),join(,""00"",B399)),join(,""0"",B399)),B399)"),"0639")</f>
        <v>0639</v>
      </c>
      <c r="E399" s="301" t="s">
        <v>939</v>
      </c>
      <c r="F399" s="325" t="s">
        <v>20</v>
      </c>
      <c r="G399" s="289" t="str">
        <f t="shared" si="88"/>
        <v>#REF!</v>
      </c>
      <c r="H399" s="408" t="s">
        <v>21</v>
      </c>
      <c r="I399" s="289" t="str">
        <f t="shared" si="89"/>
        <v>#REF!</v>
      </c>
      <c r="J399" s="413" t="s">
        <v>99</v>
      </c>
      <c r="K399" s="328" t="s">
        <v>20</v>
      </c>
      <c r="L399" s="329" t="s">
        <v>940</v>
      </c>
      <c r="M399" s="329" t="s">
        <v>941</v>
      </c>
      <c r="N399" s="401">
        <v>25001.0</v>
      </c>
      <c r="O399" s="329" t="s">
        <v>25</v>
      </c>
      <c r="P399" s="329" t="s">
        <v>55</v>
      </c>
      <c r="Q399" s="414" t="s">
        <v>1330</v>
      </c>
    </row>
    <row r="400" hidden="1">
      <c r="A400" s="45">
        <v>830.0</v>
      </c>
      <c r="B400" s="45">
        <v>830.0</v>
      </c>
      <c r="C400" s="298"/>
      <c r="D400" s="298" t="str">
        <f>IFERROR(__xludf.DUMMYFUNCTION("if(B400&lt;=999,if(B400&lt;=99,IF(B400&lt;=9,join(,""000"",B400),join(,""00"",B400)),join(,""0"",B400)),B400)"),"0830")</f>
        <v>0830</v>
      </c>
      <c r="E400" s="302" t="s">
        <v>942</v>
      </c>
      <c r="F400" s="298" t="s">
        <v>20</v>
      </c>
      <c r="G400" s="298" t="str">
        <f t="shared" si="88"/>
        <v>#REF!</v>
      </c>
      <c r="H400" s="298" t="s">
        <v>21</v>
      </c>
      <c r="I400" s="298" t="str">
        <f t="shared" si="89"/>
        <v>#REF!</v>
      </c>
      <c r="J400" s="405" t="s">
        <v>22</v>
      </c>
      <c r="K400" s="406" t="s">
        <v>20</v>
      </c>
      <c r="L400" s="407" t="s">
        <v>624</v>
      </c>
      <c r="M400" s="407" t="s">
        <v>943</v>
      </c>
      <c r="N400" s="407" t="s">
        <v>944</v>
      </c>
      <c r="O400" s="407" t="s">
        <v>25</v>
      </c>
      <c r="P400" s="407" t="s">
        <v>55</v>
      </c>
      <c r="Q400" s="414" t="s">
        <v>1330</v>
      </c>
    </row>
    <row r="401" hidden="1">
      <c r="A401" s="90">
        <v>1267.0</v>
      </c>
      <c r="B401" s="51">
        <v>1267.0</v>
      </c>
      <c r="C401" s="298">
        <v>205.0</v>
      </c>
      <c r="D401" s="289">
        <f>IFERROR(__xludf.DUMMYFUNCTION("if(B401&lt;=999,if(B401&lt;=99,IF(B401&lt;=9,join(,""000"",B401),join(,""00"",B401)),join(,""0"",B401)),B401)"),1267.0)</f>
        <v>1267</v>
      </c>
      <c r="E401" s="301" t="s">
        <v>947</v>
      </c>
      <c r="F401" s="325" t="s">
        <v>20</v>
      </c>
      <c r="G401" s="289" t="str">
        <f t="shared" si="88"/>
        <v>#REF!</v>
      </c>
      <c r="H401" s="408" t="s">
        <v>21</v>
      </c>
      <c r="I401" s="289" t="str">
        <f t="shared" si="89"/>
        <v>#REF!</v>
      </c>
      <c r="J401" s="400" t="s">
        <v>77</v>
      </c>
      <c r="K401" s="328" t="s">
        <v>20</v>
      </c>
      <c r="L401" s="329" t="s">
        <v>948</v>
      </c>
      <c r="M401" s="329" t="s">
        <v>949</v>
      </c>
      <c r="N401" s="401" t="s">
        <v>950</v>
      </c>
      <c r="O401" s="329" t="s">
        <v>25</v>
      </c>
      <c r="P401" s="329" t="s">
        <v>55</v>
      </c>
      <c r="Q401" s="414" t="s">
        <v>1330</v>
      </c>
    </row>
    <row r="402" hidden="1">
      <c r="A402" s="324">
        <v>522.0</v>
      </c>
      <c r="B402" s="324">
        <v>522.0</v>
      </c>
      <c r="C402" s="418">
        <v>206.0</v>
      </c>
      <c r="D402" s="418" t="str">
        <f>IFERROR(__xludf.DUMMYFUNCTION("if(B402&lt;=999,if(B402&lt;=99,IF(B402&lt;=9,join(,""000"",B402),join(,""00"",B402)),join(,""0"",B402)),B402)"),"0522")</f>
        <v>0522</v>
      </c>
      <c r="E402" s="417" t="s">
        <v>951</v>
      </c>
      <c r="F402" s="418" t="s">
        <v>20</v>
      </c>
      <c r="G402" s="418" t="str">
        <f t="shared" si="88"/>
        <v>#REF!</v>
      </c>
      <c r="H402" s="419" t="s">
        <v>21</v>
      </c>
      <c r="I402" s="418" t="str">
        <f t="shared" si="89"/>
        <v>#REF!</v>
      </c>
      <c r="J402" s="420" t="s">
        <v>77</v>
      </c>
      <c r="K402" s="421" t="s">
        <v>20</v>
      </c>
      <c r="L402" s="422" t="s">
        <v>948</v>
      </c>
      <c r="M402" s="422" t="s">
        <v>949</v>
      </c>
      <c r="N402" s="422">
        <v>80.0</v>
      </c>
      <c r="O402" s="422" t="s">
        <v>25</v>
      </c>
      <c r="P402" s="422" t="s">
        <v>55</v>
      </c>
      <c r="Q402" s="423" t="s">
        <v>1330</v>
      </c>
    </row>
    <row r="403" hidden="1">
      <c r="A403" s="51">
        <v>951.0</v>
      </c>
      <c r="B403" s="51">
        <v>951.0</v>
      </c>
      <c r="C403" s="289">
        <v>207.0</v>
      </c>
      <c r="D403" s="289" t="str">
        <f>IFERROR(__xludf.DUMMYFUNCTION("if(B403&lt;=999,if(B403&lt;=99,IF(B403&lt;=9,join(,""000"",B403),join(,""00"",B403)),join(,""0"",B403)),B403)"),"0951")</f>
        <v>0951</v>
      </c>
      <c r="E403" s="301" t="s">
        <v>952</v>
      </c>
      <c r="F403" s="325" t="s">
        <v>20</v>
      </c>
      <c r="G403" s="289" t="str">
        <f t="shared" si="88"/>
        <v>#REF!</v>
      </c>
      <c r="H403" s="408" t="s">
        <v>21</v>
      </c>
      <c r="I403" s="289" t="str">
        <f t="shared" si="89"/>
        <v>#REF!</v>
      </c>
      <c r="J403" s="413" t="s">
        <v>99</v>
      </c>
      <c r="K403" s="328" t="s">
        <v>20</v>
      </c>
      <c r="L403" s="329" t="s">
        <v>818</v>
      </c>
      <c r="M403" s="329" t="s">
        <v>823</v>
      </c>
      <c r="N403" s="401">
        <v>80.0</v>
      </c>
      <c r="O403" s="329" t="s">
        <v>25</v>
      </c>
      <c r="P403" s="329" t="s">
        <v>86</v>
      </c>
      <c r="Q403" s="414" t="s">
        <v>1330</v>
      </c>
    </row>
    <row r="404" hidden="1">
      <c r="A404" s="55">
        <v>468.0</v>
      </c>
      <c r="B404" s="55">
        <v>468.0</v>
      </c>
      <c r="C404" s="298"/>
      <c r="D404" s="298" t="str">
        <f>IFERROR(__xludf.DUMMYFUNCTION("if(B404&lt;=999,if(B404&lt;=99,IF(B404&lt;=9,join(,""000"",B404),join(,""00"",B404)),join(,""0"",B404)),B404)"),"0468")</f>
        <v>0468</v>
      </c>
      <c r="E404" s="457" t="s">
        <v>954</v>
      </c>
      <c r="F404" s="426" t="s">
        <v>20</v>
      </c>
      <c r="G404" s="298" t="str">
        <f t="shared" si="88"/>
        <v>#REF!</v>
      </c>
      <c r="H404" s="426" t="s">
        <v>21</v>
      </c>
      <c r="I404" s="298" t="str">
        <f t="shared" si="89"/>
        <v>#REF!</v>
      </c>
      <c r="J404" s="405" t="s">
        <v>77</v>
      </c>
      <c r="K404" s="427" t="s">
        <v>20</v>
      </c>
      <c r="L404" s="414" t="s">
        <v>28</v>
      </c>
      <c r="M404" s="414" t="s">
        <v>955</v>
      </c>
      <c r="N404" s="407">
        <v>16.0</v>
      </c>
      <c r="O404" s="414" t="s">
        <v>25</v>
      </c>
      <c r="P404" s="414" t="s">
        <v>163</v>
      </c>
      <c r="Q404" s="414" t="s">
        <v>1330</v>
      </c>
    </row>
    <row r="405" hidden="1">
      <c r="A405" s="51">
        <v>1070.0</v>
      </c>
      <c r="B405" s="51">
        <v>1070.0</v>
      </c>
      <c r="C405" s="289"/>
      <c r="D405" s="289">
        <f>IFERROR(__xludf.DUMMYFUNCTION("if(B405&lt;=999,if(B405&lt;=99,IF(B405&lt;=9,join(,""000"",B405),join(,""00"",B405)),join(,""0"",B405)),B405)"),1070.0)</f>
        <v>1070</v>
      </c>
      <c r="E405" s="326" t="s">
        <v>956</v>
      </c>
      <c r="F405" s="325" t="s">
        <v>20</v>
      </c>
      <c r="G405" s="289" t="str">
        <f t="shared" si="88"/>
        <v>#REF!</v>
      </c>
      <c r="H405" s="408" t="s">
        <v>21</v>
      </c>
      <c r="I405" s="289" t="str">
        <f t="shared" si="89"/>
        <v>#REF!</v>
      </c>
      <c r="J405" s="413" t="s">
        <v>1701</v>
      </c>
      <c r="K405" s="328" t="s">
        <v>20</v>
      </c>
      <c r="L405" s="329" t="s">
        <v>95</v>
      </c>
      <c r="M405" s="329" t="s">
        <v>1740</v>
      </c>
      <c r="N405" s="401">
        <v>2.0</v>
      </c>
      <c r="O405" s="329" t="s">
        <v>25</v>
      </c>
      <c r="P405" s="329" t="s">
        <v>55</v>
      </c>
      <c r="Q405" s="430" t="s">
        <v>1330</v>
      </c>
    </row>
    <row r="406" hidden="1">
      <c r="A406" s="51">
        <v>1258.0</v>
      </c>
      <c r="B406" s="51">
        <v>1258.0</v>
      </c>
      <c r="C406" s="298">
        <v>208.0</v>
      </c>
      <c r="D406" s="289">
        <f>IFERROR(__xludf.DUMMYFUNCTION("if(B406&lt;=999,if(B406&lt;=99,IF(B406&lt;=9,join(,""000"",B406),join(,""00"",B406)),join(,""0"",B406)),B406)"),1258.0)</f>
        <v>1258</v>
      </c>
      <c r="E406" s="301" t="s">
        <v>957</v>
      </c>
      <c r="F406" s="325" t="s">
        <v>20</v>
      </c>
      <c r="G406" s="289" t="str">
        <f t="shared" si="88"/>
        <v>#REF!</v>
      </c>
      <c r="H406" s="408" t="s">
        <v>21</v>
      </c>
      <c r="I406" s="289" t="str">
        <f t="shared" si="89"/>
        <v>#REF!</v>
      </c>
      <c r="J406" s="400" t="s">
        <v>73</v>
      </c>
      <c r="K406" s="328" t="s">
        <v>20</v>
      </c>
      <c r="L406" s="329" t="s">
        <v>559</v>
      </c>
      <c r="M406" s="329" t="s">
        <v>958</v>
      </c>
      <c r="N406" s="401">
        <v>32.0</v>
      </c>
      <c r="O406" s="329" t="s">
        <v>25</v>
      </c>
      <c r="P406" s="329" t="s">
        <v>959</v>
      </c>
      <c r="Q406" s="414" t="s">
        <v>1330</v>
      </c>
    </row>
    <row r="407" hidden="1">
      <c r="A407" s="324">
        <v>1190.0</v>
      </c>
      <c r="B407" s="415">
        <v>1190.0</v>
      </c>
      <c r="C407" s="418">
        <v>209.0</v>
      </c>
      <c r="D407" s="418">
        <f>IFERROR(__xludf.DUMMYFUNCTION("if(B407&lt;=999,if(B407&lt;=99,IF(B407&lt;=9,join(,""000"",B407),join(,""00"",B407)),join(,""0"",B407)),B407)"),1190.0)</f>
        <v>1190</v>
      </c>
      <c r="E407" s="417" t="s">
        <v>960</v>
      </c>
      <c r="F407" s="418" t="s">
        <v>20</v>
      </c>
      <c r="G407" s="418" t="str">
        <f t="shared" si="88"/>
        <v>#REF!</v>
      </c>
      <c r="H407" s="419" t="s">
        <v>21</v>
      </c>
      <c r="I407" s="418" t="str">
        <f t="shared" si="89"/>
        <v>#REF!</v>
      </c>
      <c r="J407" s="420" t="s">
        <v>73</v>
      </c>
      <c r="K407" s="421" t="s">
        <v>20</v>
      </c>
      <c r="L407" s="422" t="s">
        <v>559</v>
      </c>
      <c r="M407" s="422" t="s">
        <v>958</v>
      </c>
      <c r="N407" s="422">
        <v>32.0</v>
      </c>
      <c r="O407" s="422" t="s">
        <v>25</v>
      </c>
      <c r="P407" s="422" t="s">
        <v>959</v>
      </c>
      <c r="Q407" s="423" t="s">
        <v>1330</v>
      </c>
    </row>
    <row r="408" hidden="1">
      <c r="A408" s="324">
        <v>1191.0</v>
      </c>
      <c r="B408" s="324">
        <v>1191.0</v>
      </c>
      <c r="C408" s="418">
        <v>210.0</v>
      </c>
      <c r="D408" s="418">
        <f>IFERROR(__xludf.DUMMYFUNCTION("if(B408&lt;=999,if(B408&lt;=99,IF(B408&lt;=9,join(,""000"",B408),join(,""00"",B408)),join(,""0"",B408)),B408)"),1191.0)</f>
        <v>1191</v>
      </c>
      <c r="E408" s="417" t="s">
        <v>961</v>
      </c>
      <c r="F408" s="418" t="s">
        <v>20</v>
      </c>
      <c r="G408" s="418" t="str">
        <f t="shared" si="88"/>
        <v>#REF!</v>
      </c>
      <c r="H408" s="419" t="s">
        <v>21</v>
      </c>
      <c r="I408" s="418" t="str">
        <f t="shared" si="89"/>
        <v>#REF!</v>
      </c>
      <c r="J408" s="420" t="s">
        <v>77</v>
      </c>
      <c r="K408" s="421" t="s">
        <v>20</v>
      </c>
      <c r="L408" s="422" t="s">
        <v>559</v>
      </c>
      <c r="M408" s="422" t="s">
        <v>958</v>
      </c>
      <c r="N408" s="422">
        <v>32.0</v>
      </c>
      <c r="O408" s="422" t="s">
        <v>25</v>
      </c>
      <c r="P408" s="422" t="s">
        <v>959</v>
      </c>
      <c r="Q408" s="423" t="s">
        <v>1330</v>
      </c>
    </row>
    <row r="409">
      <c r="A409" s="51">
        <v>1262.0</v>
      </c>
      <c r="B409" s="51">
        <v>1262.0</v>
      </c>
      <c r="C409" s="260">
        <v>53.0</v>
      </c>
      <c r="D409" s="260">
        <f>IFERROR(__xludf.DUMMYFUNCTION("if(B409&lt;=999,if(B409&lt;=99,IF(B409&lt;=9,join(,""000"",B409),join(,""00"",B409)),join(,""0"",B409)),B409)"),1262.0)</f>
        <v>1262</v>
      </c>
      <c r="E409" s="270" t="s">
        <v>962</v>
      </c>
      <c r="F409" s="260" t="s">
        <v>20</v>
      </c>
      <c r="G409" s="260" t="s">
        <v>1457</v>
      </c>
      <c r="H409" s="410" t="s">
        <v>21</v>
      </c>
      <c r="I409" s="260">
        <v>9.005959049E9</v>
      </c>
      <c r="J409" s="264"/>
      <c r="K409" s="411" t="str">
        <f>vlookup(D409,'Elligible Training Institutes R'!$D$9:$L$19,9,false)</f>
        <v>#N/A</v>
      </c>
      <c r="L409" s="329" t="s">
        <v>95</v>
      </c>
      <c r="M409" s="329"/>
      <c r="N409" s="401" t="e">
        <v>#N/A</v>
      </c>
      <c r="O409" s="329"/>
      <c r="P409" s="329"/>
      <c r="Q409" s="412" t="s">
        <v>1425</v>
      </c>
    </row>
    <row r="410" hidden="1">
      <c r="A410" s="51">
        <v>1048.0</v>
      </c>
      <c r="B410" s="51">
        <v>1048.0</v>
      </c>
      <c r="C410" s="298">
        <v>211.0</v>
      </c>
      <c r="D410" s="289">
        <f>IFERROR(__xludf.DUMMYFUNCTION("if(B410&lt;=999,if(B410&lt;=99,IF(B410&lt;=9,join(,""000"",B410),join(,""00"",B410)),join(,""0"",B410)),B410)"),1048.0)</f>
        <v>1048</v>
      </c>
      <c r="E410" s="301" t="s">
        <v>963</v>
      </c>
      <c r="F410" s="325" t="s">
        <v>20</v>
      </c>
      <c r="G410" s="289" t="str">
        <f t="shared" ref="G410:G425" si="90">VLOOKUP(D410,'Copy of Form Responses; CCTV Infra 1'!$G$2:$I$675,2,false)</f>
        <v>#REF!</v>
      </c>
      <c r="H410" s="408" t="s">
        <v>21</v>
      </c>
      <c r="I410" s="289" t="str">
        <f t="shared" ref="I410:I425" si="91">VLOOKUP(D410,'Copy of Form Responses; CCTV Infra 1'!$G$2:$I$675,3,false)</f>
        <v>#REF!</v>
      </c>
      <c r="J410" s="413" t="s">
        <v>63</v>
      </c>
      <c r="K410" s="328" t="s">
        <v>20</v>
      </c>
      <c r="L410" s="329" t="s">
        <v>23</v>
      </c>
      <c r="M410" s="329" t="s">
        <v>964</v>
      </c>
      <c r="N410" s="401" t="e">
        <v>#N/A</v>
      </c>
      <c r="O410" s="329" t="s">
        <v>25</v>
      </c>
      <c r="P410" s="329" t="s">
        <v>965</v>
      </c>
      <c r="Q410" s="414" t="s">
        <v>1330</v>
      </c>
    </row>
    <row r="411" hidden="1">
      <c r="A411" s="51">
        <v>21.0</v>
      </c>
      <c r="B411" s="51">
        <v>21.0</v>
      </c>
      <c r="C411" s="289">
        <v>212.0</v>
      </c>
      <c r="D411" s="289" t="str">
        <f>IFERROR(__xludf.DUMMYFUNCTION("if(B411&lt;=999,if(B411&lt;=99,IF(B411&lt;=9,join(,""000"",B411),join(,""00"",B411)),join(,""0"",B411)),B411)"),"0021")</f>
        <v>0021</v>
      </c>
      <c r="E411" s="301" t="s">
        <v>1337</v>
      </c>
      <c r="F411" s="325" t="s">
        <v>20</v>
      </c>
      <c r="G411" s="289" t="str">
        <f t="shared" si="90"/>
        <v>#REF!</v>
      </c>
      <c r="H411" s="408" t="s">
        <v>21</v>
      </c>
      <c r="I411" s="289" t="str">
        <f t="shared" si="91"/>
        <v>#REF!</v>
      </c>
      <c r="J411" s="400" t="s">
        <v>77</v>
      </c>
      <c r="K411" s="328" t="s">
        <v>20</v>
      </c>
      <c r="L411" s="329" t="s">
        <v>23</v>
      </c>
      <c r="M411" s="329" t="s">
        <v>1741</v>
      </c>
      <c r="N411" s="401">
        <v>8000.0</v>
      </c>
      <c r="O411" s="329" t="s">
        <v>25</v>
      </c>
      <c r="P411" s="329" t="s">
        <v>965</v>
      </c>
      <c r="Q411" s="414" t="s">
        <v>1330</v>
      </c>
    </row>
    <row r="412" hidden="1">
      <c r="A412" s="51">
        <v>1293.0</v>
      </c>
      <c r="B412" s="51">
        <v>1293.0</v>
      </c>
      <c r="C412" s="289"/>
      <c r="D412" s="289">
        <f>IFERROR(__xludf.DUMMYFUNCTION("if(B412&lt;=999,if(B412&lt;=99,IF(B412&lt;=9,join(,""000"",B412),join(,""00"",B412)),join(,""0"",B412)),B412)"),1293.0)</f>
        <v>1293</v>
      </c>
      <c r="E412" s="326" t="s">
        <v>969</v>
      </c>
      <c r="F412" s="325" t="s">
        <v>20</v>
      </c>
      <c r="G412" s="289" t="str">
        <f t="shared" si="90"/>
        <v>#REF!</v>
      </c>
      <c r="H412" s="408" t="s">
        <v>21</v>
      </c>
      <c r="I412" s="289" t="str">
        <f t="shared" si="91"/>
        <v>#REF!</v>
      </c>
      <c r="J412" s="413" t="s">
        <v>34</v>
      </c>
      <c r="K412" s="328" t="s">
        <v>20</v>
      </c>
      <c r="L412" s="507" t="s">
        <v>1742</v>
      </c>
      <c r="M412" s="329" t="s">
        <v>1743</v>
      </c>
      <c r="N412" s="401">
        <v>24.0</v>
      </c>
      <c r="O412" s="329" t="s">
        <v>25</v>
      </c>
      <c r="P412" s="329" t="s">
        <v>55</v>
      </c>
      <c r="Q412" s="414" t="s">
        <v>1330</v>
      </c>
    </row>
    <row r="413" hidden="1">
      <c r="A413" s="55">
        <v>1305.0</v>
      </c>
      <c r="B413" s="55">
        <v>1305.0</v>
      </c>
      <c r="C413" s="298"/>
      <c r="D413" s="298">
        <f>IFERROR(__xludf.DUMMYFUNCTION("if(B413&lt;=999,if(B413&lt;=99,IF(B413&lt;=9,join(,""000"",B413),join(,""00"",B413)),join(,""0"",B413)),B413)"),1305.0)</f>
        <v>1305</v>
      </c>
      <c r="E413" s="457" t="s">
        <v>970</v>
      </c>
      <c r="F413" s="426" t="s">
        <v>20</v>
      </c>
      <c r="G413" s="298" t="str">
        <f t="shared" si="90"/>
        <v>#REF!</v>
      </c>
      <c r="H413" s="426" t="s">
        <v>21</v>
      </c>
      <c r="I413" s="298" t="str">
        <f t="shared" si="91"/>
        <v>#REF!</v>
      </c>
      <c r="J413" s="405" t="s">
        <v>77</v>
      </c>
      <c r="K413" s="427" t="s">
        <v>20</v>
      </c>
      <c r="L413" s="414" t="s">
        <v>1744</v>
      </c>
      <c r="M413" s="414" t="s">
        <v>971</v>
      </c>
      <c r="N413" s="407">
        <v>80.0</v>
      </c>
      <c r="O413" s="414" t="s">
        <v>104</v>
      </c>
      <c r="P413" s="414"/>
      <c r="Q413" s="414" t="s">
        <v>1330</v>
      </c>
    </row>
    <row r="414" hidden="1">
      <c r="A414" s="51">
        <v>1253.0</v>
      </c>
      <c r="B414" s="51">
        <v>1253.0</v>
      </c>
      <c r="C414" s="289">
        <v>213.0</v>
      </c>
      <c r="D414" s="289">
        <f>IFERROR(__xludf.DUMMYFUNCTION("if(B414&lt;=999,if(B414&lt;=99,IF(B414&lt;=9,join(,""000"",B414),join(,""00"",B414)),join(,""0"",B414)),B414)"),1253.0)</f>
        <v>1253</v>
      </c>
      <c r="E414" s="301" t="s">
        <v>973</v>
      </c>
      <c r="F414" s="325" t="s">
        <v>20</v>
      </c>
      <c r="G414" s="289" t="str">
        <f t="shared" si="90"/>
        <v>#REF!</v>
      </c>
      <c r="H414" s="408" t="s">
        <v>21</v>
      </c>
      <c r="I414" s="289" t="str">
        <f t="shared" si="91"/>
        <v>#REF!</v>
      </c>
      <c r="J414" s="400" t="s">
        <v>22</v>
      </c>
      <c r="K414" s="328" t="s">
        <v>20</v>
      </c>
      <c r="L414" s="329" t="s">
        <v>948</v>
      </c>
      <c r="M414" s="329" t="s">
        <v>974</v>
      </c>
      <c r="N414" s="401">
        <v>8000.0</v>
      </c>
      <c r="O414" s="329" t="s">
        <v>25</v>
      </c>
      <c r="P414" s="329" t="s">
        <v>975</v>
      </c>
      <c r="Q414" s="414" t="s">
        <v>1330</v>
      </c>
    </row>
    <row r="415" hidden="1">
      <c r="A415" s="51">
        <v>1189.0</v>
      </c>
      <c r="B415" s="51">
        <v>1189.0</v>
      </c>
      <c r="C415" s="289">
        <v>214.0</v>
      </c>
      <c r="D415" s="289">
        <f>IFERROR(__xludf.DUMMYFUNCTION("if(B415&lt;=999,if(B415&lt;=99,IF(B415&lt;=9,join(,""000"",B415),join(,""00"",B415)),join(,""0"",B415)),B415)"),1189.0)</f>
        <v>1189</v>
      </c>
      <c r="E415" s="301" t="s">
        <v>976</v>
      </c>
      <c r="F415" s="325" t="s">
        <v>20</v>
      </c>
      <c r="G415" s="289" t="str">
        <f t="shared" si="90"/>
        <v>#REF!</v>
      </c>
      <c r="H415" s="408" t="s">
        <v>21</v>
      </c>
      <c r="I415" s="289" t="str">
        <f t="shared" si="91"/>
        <v>#REF!</v>
      </c>
      <c r="J415" s="400" t="s">
        <v>22</v>
      </c>
      <c r="K415" s="328" t="s">
        <v>20</v>
      </c>
      <c r="L415" s="329" t="s">
        <v>948</v>
      </c>
      <c r="M415" s="329" t="s">
        <v>974</v>
      </c>
      <c r="N415" s="401">
        <v>8000.0</v>
      </c>
      <c r="O415" s="329" t="s">
        <v>25</v>
      </c>
      <c r="P415" s="329" t="s">
        <v>975</v>
      </c>
      <c r="Q415" s="414" t="s">
        <v>1330</v>
      </c>
    </row>
    <row r="416" hidden="1">
      <c r="A416" s="45">
        <v>221.0</v>
      </c>
      <c r="B416" s="45">
        <v>221.0</v>
      </c>
      <c r="C416" s="298"/>
      <c r="D416" s="298" t="str">
        <f>IFERROR(__xludf.DUMMYFUNCTION("if(B416&lt;=999,if(B416&lt;=99,IF(B416&lt;=9,join(,""000"",B416),join(,""00"",B416)),join(,""0"",B416)),B416)"),"0221")</f>
        <v>0221</v>
      </c>
      <c r="E416" s="302" t="s">
        <v>977</v>
      </c>
      <c r="F416" s="426" t="s">
        <v>20</v>
      </c>
      <c r="G416" s="298" t="str">
        <f t="shared" si="90"/>
        <v>#REF!</v>
      </c>
      <c r="H416" s="298" t="s">
        <v>21</v>
      </c>
      <c r="I416" s="298" t="str">
        <f t="shared" si="91"/>
        <v>#REF!</v>
      </c>
      <c r="J416" s="405" t="s">
        <v>22</v>
      </c>
      <c r="K416" s="406" t="s">
        <v>20</v>
      </c>
      <c r="L416" s="407" t="s">
        <v>978</v>
      </c>
      <c r="M416" s="407" t="s">
        <v>979</v>
      </c>
      <c r="N416" s="407" t="e">
        <v>#N/A</v>
      </c>
      <c r="O416" s="407" t="s">
        <v>25</v>
      </c>
      <c r="P416" s="407" t="s">
        <v>55</v>
      </c>
      <c r="Q416" s="414" t="s">
        <v>1330</v>
      </c>
    </row>
    <row r="417" hidden="1">
      <c r="A417" s="33">
        <v>337.0</v>
      </c>
      <c r="B417" s="34">
        <v>337.0</v>
      </c>
      <c r="C417" s="289"/>
      <c r="D417" s="289" t="str">
        <f>IFERROR(__xludf.DUMMYFUNCTION("if(B417&lt;=999,if(B417&lt;=99,IF(B417&lt;=9,join(,""000"",B417),join(,""00"",B417)),join(,""0"",B417)),B417)"),"0337")</f>
        <v>0337</v>
      </c>
      <c r="E417" s="297" t="s">
        <v>982</v>
      </c>
      <c r="F417" s="289" t="s">
        <v>20</v>
      </c>
      <c r="G417" s="289" t="str">
        <f t="shared" si="90"/>
        <v>#REF!</v>
      </c>
      <c r="H417" s="399" t="s">
        <v>21</v>
      </c>
      <c r="I417" s="289" t="str">
        <f t="shared" si="91"/>
        <v>#REF!</v>
      </c>
      <c r="J417" s="400" t="s">
        <v>983</v>
      </c>
      <c r="K417" s="290" t="s">
        <v>20</v>
      </c>
      <c r="L417" s="401" t="s">
        <v>978</v>
      </c>
      <c r="M417" s="401" t="s">
        <v>1745</v>
      </c>
      <c r="N417" s="401">
        <v>8000.0</v>
      </c>
      <c r="O417" s="401" t="s">
        <v>25</v>
      </c>
      <c r="P417" s="401" t="s">
        <v>55</v>
      </c>
      <c r="Q417" s="414" t="s">
        <v>1330</v>
      </c>
    </row>
    <row r="418" hidden="1">
      <c r="A418" s="33">
        <v>819.0</v>
      </c>
      <c r="B418" s="34">
        <v>819.0</v>
      </c>
      <c r="C418" s="289">
        <v>215.0</v>
      </c>
      <c r="D418" s="289" t="str">
        <f>IFERROR(__xludf.DUMMYFUNCTION("if(B418&lt;=999,if(B418&lt;=99,IF(B418&lt;=9,join(,""000"",B418),join(,""00"",B418)),join(,""0"",B418)),B418)"),"0819")</f>
        <v>0819</v>
      </c>
      <c r="E418" s="296" t="s">
        <v>984</v>
      </c>
      <c r="F418" s="325" t="s">
        <v>20</v>
      </c>
      <c r="G418" s="289" t="str">
        <f t="shared" si="90"/>
        <v>#REF!</v>
      </c>
      <c r="H418" s="399" t="s">
        <v>21</v>
      </c>
      <c r="I418" s="289" t="str">
        <f t="shared" si="91"/>
        <v>#REF!</v>
      </c>
      <c r="J418" s="400" t="s">
        <v>101</v>
      </c>
      <c r="K418" s="290" t="s">
        <v>20</v>
      </c>
      <c r="L418" s="329" t="s">
        <v>985</v>
      </c>
      <c r="M418" s="329" t="s">
        <v>986</v>
      </c>
      <c r="N418" s="401" t="e">
        <v>#N/A</v>
      </c>
      <c r="O418" s="329" t="s">
        <v>513</v>
      </c>
      <c r="P418" s="329" t="s">
        <v>987</v>
      </c>
      <c r="Q418" s="414" t="s">
        <v>1330</v>
      </c>
    </row>
    <row r="419" hidden="1">
      <c r="A419" s="51">
        <v>1050.0</v>
      </c>
      <c r="B419" s="51">
        <v>1050.0</v>
      </c>
      <c r="C419" s="289"/>
      <c r="D419" s="289">
        <f>IFERROR(__xludf.DUMMYFUNCTION("if(B419&lt;=999,if(B419&lt;=99,IF(B419&lt;=9,join(,""000"",B419),join(,""00"",B419)),join(,""0"",B419)),B419)"),1050.0)</f>
        <v>1050</v>
      </c>
      <c r="E419" s="326" t="s">
        <v>988</v>
      </c>
      <c r="F419" s="325" t="s">
        <v>20</v>
      </c>
      <c r="G419" s="289" t="str">
        <f t="shared" si="90"/>
        <v>#REF!</v>
      </c>
      <c r="H419" s="408" t="s">
        <v>21</v>
      </c>
      <c r="I419" s="289" t="str">
        <f t="shared" si="91"/>
        <v>#REF!</v>
      </c>
      <c r="J419" s="400" t="s">
        <v>22</v>
      </c>
      <c r="K419" s="328" t="s">
        <v>20</v>
      </c>
      <c r="L419" s="329" t="s">
        <v>95</v>
      </c>
      <c r="M419" s="329" t="s">
        <v>1746</v>
      </c>
      <c r="N419" s="401">
        <v>16.0</v>
      </c>
      <c r="O419" s="329" t="s">
        <v>25</v>
      </c>
      <c r="P419" s="329" t="s">
        <v>55</v>
      </c>
      <c r="Q419" s="430" t="s">
        <v>1330</v>
      </c>
    </row>
    <row r="420" hidden="1">
      <c r="A420" s="51">
        <v>17.0</v>
      </c>
      <c r="B420" s="51">
        <v>17.0</v>
      </c>
      <c r="C420" s="289"/>
      <c r="D420" s="289" t="str">
        <f>IFERROR(__xludf.DUMMYFUNCTION("if(B420&lt;=999,if(B420&lt;=99,IF(B420&lt;=9,join(,""000"",B420),join(,""00"",B420)),join(,""0"",B420)),B420)"),"0017")</f>
        <v>0017</v>
      </c>
      <c r="E420" s="326" t="s">
        <v>989</v>
      </c>
      <c r="F420" s="325" t="s">
        <v>20</v>
      </c>
      <c r="G420" s="289" t="str">
        <f t="shared" si="90"/>
        <v>#REF!</v>
      </c>
      <c r="H420" s="408" t="s">
        <v>21</v>
      </c>
      <c r="I420" s="289" t="str">
        <f t="shared" si="91"/>
        <v>#REF!</v>
      </c>
      <c r="J420" s="400" t="s">
        <v>22</v>
      </c>
      <c r="K420" s="328" t="s">
        <v>20</v>
      </c>
      <c r="L420" s="329" t="s">
        <v>23</v>
      </c>
      <c r="M420" s="329" t="s">
        <v>1747</v>
      </c>
      <c r="N420" s="401">
        <v>8000.0</v>
      </c>
      <c r="O420" s="329" t="s">
        <v>25</v>
      </c>
      <c r="P420" s="329" t="s">
        <v>1748</v>
      </c>
      <c r="Q420" s="414" t="s">
        <v>1330</v>
      </c>
    </row>
    <row r="421" hidden="1">
      <c r="A421" s="51">
        <v>340.0</v>
      </c>
      <c r="B421" s="51">
        <v>340.0</v>
      </c>
      <c r="C421" s="298">
        <v>216.0</v>
      </c>
      <c r="D421" s="289" t="str">
        <f>IFERROR(__xludf.DUMMYFUNCTION("if(B421&lt;=999,if(B421&lt;=99,IF(B421&lt;=9,join(,""000"",B421),join(,""00"",B421)),join(,""0"",B421)),B421)"),"0340")</f>
        <v>0340</v>
      </c>
      <c r="E421" s="301" t="s">
        <v>990</v>
      </c>
      <c r="F421" s="325" t="s">
        <v>20</v>
      </c>
      <c r="G421" s="289" t="str">
        <f t="shared" si="90"/>
        <v>#REF!</v>
      </c>
      <c r="H421" s="408" t="s">
        <v>21</v>
      </c>
      <c r="I421" s="289" t="str">
        <f t="shared" si="91"/>
        <v>#REF!</v>
      </c>
      <c r="J421" s="400" t="s">
        <v>77</v>
      </c>
      <c r="K421" s="328" t="s">
        <v>20</v>
      </c>
      <c r="L421" s="329" t="s">
        <v>95</v>
      </c>
      <c r="M421" s="329" t="s">
        <v>991</v>
      </c>
      <c r="N421" s="401">
        <v>25001.0</v>
      </c>
      <c r="O421" s="329" t="s">
        <v>25</v>
      </c>
      <c r="P421" s="329" t="s">
        <v>992</v>
      </c>
      <c r="Q421" s="414" t="s">
        <v>1330</v>
      </c>
    </row>
    <row r="422" hidden="1">
      <c r="A422" s="51">
        <v>1134.0</v>
      </c>
      <c r="B422" s="51">
        <v>1134.0</v>
      </c>
      <c r="C422" s="289"/>
      <c r="D422" s="289">
        <f>IFERROR(__xludf.DUMMYFUNCTION("if(B422&lt;=999,if(B422&lt;=99,IF(B422&lt;=9,join(,""000"",B422),join(,""00"",B422)),join(,""0"",B422)),B422)"),1134.0)</f>
        <v>1134</v>
      </c>
      <c r="E422" s="326" t="s">
        <v>993</v>
      </c>
      <c r="F422" s="325" t="s">
        <v>20</v>
      </c>
      <c r="G422" s="289" t="str">
        <f t="shared" si="90"/>
        <v>#REF!</v>
      </c>
      <c r="H422" s="408" t="s">
        <v>21</v>
      </c>
      <c r="I422" s="289" t="str">
        <f t="shared" si="91"/>
        <v>#REF!</v>
      </c>
      <c r="J422" s="413"/>
      <c r="K422" s="328" t="s">
        <v>20</v>
      </c>
      <c r="L422" s="329" t="s">
        <v>95</v>
      </c>
      <c r="M422" s="329" t="s">
        <v>1749</v>
      </c>
      <c r="N422" s="401">
        <v>8080.0</v>
      </c>
      <c r="O422" s="329" t="s">
        <v>25</v>
      </c>
      <c r="P422" s="329" t="s">
        <v>55</v>
      </c>
      <c r="Q422" s="430" t="s">
        <v>1330</v>
      </c>
    </row>
    <row r="423" hidden="1">
      <c r="A423" s="51">
        <v>1198.0</v>
      </c>
      <c r="B423" s="51">
        <v>1198.0</v>
      </c>
      <c r="C423" s="289">
        <v>217.0</v>
      </c>
      <c r="D423" s="289">
        <f>IFERROR(__xludf.DUMMYFUNCTION("if(B423&lt;=999,if(B423&lt;=99,IF(B423&lt;=9,join(,""000"",B423),join(,""00"",B423)),join(,""0"",B423)),B423)"),1198.0)</f>
        <v>1198</v>
      </c>
      <c r="E423" s="301" t="s">
        <v>994</v>
      </c>
      <c r="F423" s="325" t="s">
        <v>20</v>
      </c>
      <c r="G423" s="289" t="str">
        <f t="shared" si="90"/>
        <v>#REF!</v>
      </c>
      <c r="H423" s="408" t="s">
        <v>21</v>
      </c>
      <c r="I423" s="289" t="str">
        <f t="shared" si="91"/>
        <v>#REF!</v>
      </c>
      <c r="J423" s="400" t="s">
        <v>101</v>
      </c>
      <c r="K423" s="328" t="s">
        <v>20</v>
      </c>
      <c r="L423" s="329" t="s">
        <v>360</v>
      </c>
      <c r="M423" s="329" t="s">
        <v>995</v>
      </c>
      <c r="N423" s="401">
        <v>80.0</v>
      </c>
      <c r="O423" s="329" t="s">
        <v>25</v>
      </c>
      <c r="P423" s="329" t="s">
        <v>55</v>
      </c>
      <c r="Q423" s="414" t="s">
        <v>1330</v>
      </c>
    </row>
    <row r="424" hidden="1">
      <c r="A424" s="51">
        <v>18.0</v>
      </c>
      <c r="B424" s="51">
        <v>18.0</v>
      </c>
      <c r="C424" s="289"/>
      <c r="D424" s="289" t="str">
        <f>IFERROR(__xludf.DUMMYFUNCTION("if(B424&lt;=999,if(B424&lt;=99,IF(B424&lt;=9,join(,""000"",B424),join(,""00"",B424)),join(,""0"",B424)),B424)"),"0018")</f>
        <v>0018</v>
      </c>
      <c r="E424" s="326" t="s">
        <v>996</v>
      </c>
      <c r="F424" s="325" t="s">
        <v>20</v>
      </c>
      <c r="G424" s="289" t="str">
        <f t="shared" si="90"/>
        <v>#REF!</v>
      </c>
      <c r="H424" s="408" t="s">
        <v>21</v>
      </c>
      <c r="I424" s="289" t="str">
        <f t="shared" si="91"/>
        <v>#REF!</v>
      </c>
      <c r="J424" s="413" t="s">
        <v>34</v>
      </c>
      <c r="K424" s="328" t="s">
        <v>20</v>
      </c>
      <c r="L424" s="329" t="s">
        <v>28</v>
      </c>
      <c r="M424" s="478" t="s">
        <v>1750</v>
      </c>
      <c r="N424" s="401">
        <v>16.0</v>
      </c>
      <c r="O424" s="329" t="s">
        <v>1751</v>
      </c>
      <c r="P424" s="329" t="s">
        <v>1752</v>
      </c>
      <c r="Q424" s="414" t="s">
        <v>1330</v>
      </c>
    </row>
    <row r="425" hidden="1">
      <c r="A425" s="51">
        <v>818.0</v>
      </c>
      <c r="B425" s="51">
        <v>818.0</v>
      </c>
      <c r="C425" s="289"/>
      <c r="D425" s="289" t="str">
        <f>IFERROR(__xludf.DUMMYFUNCTION("if(B425&lt;=999,if(B425&lt;=99,IF(B425&lt;=9,join(,""000"",B425),join(,""00"",B425)),join(,""0"",B425)),B425)"),"0818")</f>
        <v>0818</v>
      </c>
      <c r="E425" s="326" t="s">
        <v>997</v>
      </c>
      <c r="F425" s="325" t="s">
        <v>20</v>
      </c>
      <c r="G425" s="289" t="str">
        <f t="shared" si="90"/>
        <v>#REF!</v>
      </c>
      <c r="H425" s="408" t="s">
        <v>21</v>
      </c>
      <c r="I425" s="289" t="str">
        <f t="shared" si="91"/>
        <v>#REF!</v>
      </c>
      <c r="J425" s="400" t="s">
        <v>22</v>
      </c>
      <c r="K425" s="328" t="s">
        <v>20</v>
      </c>
      <c r="L425" s="329" t="s">
        <v>95</v>
      </c>
      <c r="M425" s="291" t="s">
        <v>998</v>
      </c>
      <c r="N425" s="401"/>
      <c r="O425" s="329" t="s">
        <v>389</v>
      </c>
      <c r="P425" s="329" t="s">
        <v>55</v>
      </c>
      <c r="Q425" s="414" t="s">
        <v>1330</v>
      </c>
    </row>
    <row r="426" hidden="1">
      <c r="A426" s="324">
        <v>1320.0</v>
      </c>
      <c r="B426" s="324">
        <v>1320.0</v>
      </c>
      <c r="C426" s="418">
        <v>218.0</v>
      </c>
      <c r="D426" s="418">
        <f>IFERROR(__xludf.DUMMYFUNCTION("if(B426&lt;=999,if(B426&lt;=99,IF(B426&lt;=9,join(,""000"",B426),join(,""00"",B426)),join(,""0"",B426)),B426)"),1320.0)</f>
        <v>1320</v>
      </c>
      <c r="E426" s="417" t="s">
        <v>999</v>
      </c>
      <c r="F426" s="418" t="s">
        <v>20</v>
      </c>
      <c r="G426" s="418" t="s">
        <v>1753</v>
      </c>
      <c r="H426" s="419" t="s">
        <v>21</v>
      </c>
      <c r="I426" s="418">
        <v>7.651956257E9</v>
      </c>
      <c r="J426" s="420" t="s">
        <v>99</v>
      </c>
      <c r="K426" s="421" t="s">
        <v>20</v>
      </c>
      <c r="L426" s="422" t="s">
        <v>95</v>
      </c>
      <c r="M426" s="465" t="s">
        <v>1000</v>
      </c>
      <c r="N426" s="422" t="e">
        <v>#N/A</v>
      </c>
      <c r="O426" s="422" t="s">
        <v>389</v>
      </c>
      <c r="P426" s="422" t="s">
        <v>1001</v>
      </c>
      <c r="Q426" s="423" t="s">
        <v>1330</v>
      </c>
    </row>
    <row r="427" hidden="1">
      <c r="A427" s="324">
        <v>1026.0</v>
      </c>
      <c r="B427" s="324">
        <v>1026.0</v>
      </c>
      <c r="C427" s="416">
        <v>219.0</v>
      </c>
      <c r="D427" s="418">
        <f>IFERROR(__xludf.DUMMYFUNCTION("if(B427&lt;=999,if(B427&lt;=99,IF(B427&lt;=9,join(,""000"",B427),join(,""00"",B427)),join(,""0"",B427)),B427)"),1026.0)</f>
        <v>1026</v>
      </c>
      <c r="E427" s="417" t="s">
        <v>1002</v>
      </c>
      <c r="F427" s="418" t="s">
        <v>20</v>
      </c>
      <c r="G427" s="418" t="str">
        <f t="shared" ref="G427:G429" si="92">VLOOKUP(D427,'Copy of Form Responses; CCTV Infra 1'!$G$2:$I$675,2,false)</f>
        <v>#REF!</v>
      </c>
      <c r="H427" s="419" t="s">
        <v>21</v>
      </c>
      <c r="I427" s="418" t="str">
        <f t="shared" ref="I427:I429" si="93">VLOOKUP(D427,'Copy of Form Responses; CCTV Infra 1'!$G$2:$I$675,3,false)</f>
        <v>#REF!</v>
      </c>
      <c r="J427" s="420" t="s">
        <v>22</v>
      </c>
      <c r="K427" s="421" t="s">
        <v>20</v>
      </c>
      <c r="L427" s="422" t="s">
        <v>95</v>
      </c>
      <c r="M427" s="465" t="s">
        <v>1000</v>
      </c>
      <c r="N427" s="422">
        <v>80.0</v>
      </c>
      <c r="O427" s="422" t="s">
        <v>389</v>
      </c>
      <c r="P427" s="422" t="s">
        <v>1001</v>
      </c>
      <c r="Q427" s="423" t="s">
        <v>1330</v>
      </c>
    </row>
    <row r="428" hidden="1">
      <c r="A428" s="33">
        <v>1296.0</v>
      </c>
      <c r="B428" s="34">
        <v>1296.0</v>
      </c>
      <c r="C428" s="289">
        <v>220.0</v>
      </c>
      <c r="D428" s="289">
        <f>IFERROR(__xludf.DUMMYFUNCTION("if(B428&lt;=999,if(B428&lt;=99,IF(B428&lt;=9,join(,""000"",B428),join(,""00"",B428)),join(,""0"",B428)),B428)"),1296.0)</f>
        <v>1296</v>
      </c>
      <c r="E428" s="296" t="s">
        <v>1003</v>
      </c>
      <c r="F428" s="325" t="s">
        <v>20</v>
      </c>
      <c r="G428" s="289" t="str">
        <f t="shared" si="92"/>
        <v>#REF!</v>
      </c>
      <c r="H428" s="399" t="s">
        <v>21</v>
      </c>
      <c r="I428" s="289" t="str">
        <f t="shared" si="93"/>
        <v>#REF!</v>
      </c>
      <c r="J428" s="400" t="s">
        <v>22</v>
      </c>
      <c r="K428" s="290" t="s">
        <v>20</v>
      </c>
      <c r="L428" s="291" t="s">
        <v>1004</v>
      </c>
      <c r="M428" s="291" t="s">
        <v>1005</v>
      </c>
      <c r="N428" s="401">
        <v>25.0</v>
      </c>
      <c r="O428" s="439" t="s">
        <v>389</v>
      </c>
      <c r="P428" s="439" t="s">
        <v>55</v>
      </c>
      <c r="Q428" s="414" t="s">
        <v>1330</v>
      </c>
    </row>
    <row r="429" hidden="1">
      <c r="A429" s="51">
        <v>1081.0</v>
      </c>
      <c r="B429" s="51">
        <v>1081.0</v>
      </c>
      <c r="C429" s="289"/>
      <c r="D429" s="289">
        <f>IFERROR(__xludf.DUMMYFUNCTION("if(B429&lt;=999,if(B429&lt;=99,IF(B429&lt;=9,join(,""000"",B429),join(,""00"",B429)),join(,""0"",B429)),B429)"),1081.0)</f>
        <v>1081</v>
      </c>
      <c r="E429" s="326" t="s">
        <v>1006</v>
      </c>
      <c r="F429" s="325" t="s">
        <v>20</v>
      </c>
      <c r="G429" s="289" t="str">
        <f t="shared" si="92"/>
        <v>#REF!</v>
      </c>
      <c r="H429" s="408" t="s">
        <v>21</v>
      </c>
      <c r="I429" s="289" t="str">
        <f t="shared" si="93"/>
        <v>#REF!</v>
      </c>
      <c r="J429" s="413" t="s">
        <v>77</v>
      </c>
      <c r="K429" s="328" t="s">
        <v>20</v>
      </c>
      <c r="L429" s="329" t="s">
        <v>95</v>
      </c>
      <c r="M429" s="329" t="s">
        <v>1754</v>
      </c>
      <c r="N429" s="401">
        <v>1025.0</v>
      </c>
      <c r="O429" s="329" t="s">
        <v>25</v>
      </c>
      <c r="P429" s="329" t="s">
        <v>55</v>
      </c>
      <c r="Q429" s="402" t="s">
        <v>1330</v>
      </c>
    </row>
    <row r="430" hidden="1">
      <c r="A430" s="51">
        <v>1203.0</v>
      </c>
      <c r="B430" s="51">
        <v>1203.0</v>
      </c>
      <c r="C430" s="289">
        <v>221.0</v>
      </c>
      <c r="D430" s="289">
        <f>IFERROR(__xludf.DUMMYFUNCTION("if(B430&lt;=999,if(B430&lt;=99,IF(B430&lt;=9,join(,""000"",B430),join(,""00"",B430)),join(,""0"",B430)),B430)"),1203.0)</f>
        <v>1203</v>
      </c>
      <c r="E430" s="301" t="s">
        <v>1008</v>
      </c>
      <c r="F430" s="325" t="s">
        <v>20</v>
      </c>
      <c r="G430" s="289" t="s">
        <v>1755</v>
      </c>
      <c r="H430" s="408" t="s">
        <v>21</v>
      </c>
      <c r="I430" s="289">
        <v>8.430415804E9</v>
      </c>
      <c r="J430" s="400" t="s">
        <v>22</v>
      </c>
      <c r="K430" s="328" t="s">
        <v>20</v>
      </c>
      <c r="L430" s="329" t="s">
        <v>137</v>
      </c>
      <c r="M430" s="329" t="s">
        <v>1756</v>
      </c>
      <c r="N430" s="401" t="e">
        <v>#N/A</v>
      </c>
      <c r="O430" s="329" t="s">
        <v>25</v>
      </c>
      <c r="P430" s="329" t="s">
        <v>256</v>
      </c>
      <c r="Q430" s="414" t="s">
        <v>1330</v>
      </c>
    </row>
    <row r="431" hidden="1">
      <c r="A431" s="33">
        <v>1225.0</v>
      </c>
      <c r="B431" s="34">
        <v>1225.0</v>
      </c>
      <c r="C431" s="298">
        <v>222.0</v>
      </c>
      <c r="D431" s="289">
        <f>IFERROR(__xludf.DUMMYFUNCTION("if(B431&lt;=999,if(B431&lt;=99,IF(B431&lt;=9,join(,""000"",B431),join(,""00"",B431)),join(,""0"",B431)),B431)"),1225.0)</f>
        <v>1225</v>
      </c>
      <c r="E431" s="296" t="s">
        <v>1009</v>
      </c>
      <c r="F431" s="289" t="s">
        <v>20</v>
      </c>
      <c r="G431" s="289" t="s">
        <v>1757</v>
      </c>
      <c r="H431" s="399" t="s">
        <v>21</v>
      </c>
      <c r="I431" s="289">
        <v>9.758520757E9</v>
      </c>
      <c r="J431" s="400" t="s">
        <v>77</v>
      </c>
      <c r="K431" s="265" t="s">
        <v>20</v>
      </c>
      <c r="L431" s="401" t="s">
        <v>28</v>
      </c>
      <c r="M431" s="401" t="s">
        <v>1012</v>
      </c>
      <c r="N431" s="401" t="e">
        <v>#N/A</v>
      </c>
      <c r="O431" s="401" t="s">
        <v>25</v>
      </c>
      <c r="P431" s="401" t="s">
        <v>383</v>
      </c>
      <c r="Q431" s="414" t="s">
        <v>1330</v>
      </c>
    </row>
    <row r="432" hidden="1">
      <c r="A432" s="51">
        <v>807.0</v>
      </c>
      <c r="B432" s="51">
        <v>807.0</v>
      </c>
      <c r="C432" s="289">
        <v>223.0</v>
      </c>
      <c r="D432" s="289" t="str">
        <f>IFERROR(__xludf.DUMMYFUNCTION("if(B432&lt;=999,if(B432&lt;=99,IF(B432&lt;=9,join(,""000"",B432),join(,""00"",B432)),join(,""0"",B432)),B432)"),"0807")</f>
        <v>0807</v>
      </c>
      <c r="E432" s="301" t="s">
        <v>1010</v>
      </c>
      <c r="F432" s="325" t="s">
        <v>20</v>
      </c>
      <c r="G432" s="289" t="str">
        <f t="shared" ref="G432:G440" si="94">VLOOKUP(D432,'Copy of Form Responses; CCTV Infra 1'!$G$2:$I$675,2,false)</f>
        <v>#REF!</v>
      </c>
      <c r="H432" s="408" t="s">
        <v>21</v>
      </c>
      <c r="I432" s="289" t="str">
        <f t="shared" ref="I432:I440" si="95">VLOOKUP(D432,'Copy of Form Responses; CCTV Infra 1'!$G$2:$I$675,3,false)</f>
        <v>#REF!</v>
      </c>
      <c r="J432" s="413" t="s">
        <v>99</v>
      </c>
      <c r="K432" s="265" t="s">
        <v>20</v>
      </c>
      <c r="L432" s="329" t="s">
        <v>1011</v>
      </c>
      <c r="M432" s="401" t="s">
        <v>1012</v>
      </c>
      <c r="N432" s="401" t="s">
        <v>1013</v>
      </c>
      <c r="O432" s="329" t="s">
        <v>25</v>
      </c>
      <c r="P432" s="329" t="s">
        <v>383</v>
      </c>
      <c r="Q432" s="414" t="s">
        <v>1330</v>
      </c>
    </row>
    <row r="433" hidden="1">
      <c r="A433" s="51">
        <v>345.0</v>
      </c>
      <c r="B433" s="51">
        <v>345.0</v>
      </c>
      <c r="C433" s="289">
        <v>224.0</v>
      </c>
      <c r="D433" s="289" t="str">
        <f>IFERROR(__xludf.DUMMYFUNCTION("if(B433&lt;=999,if(B433&lt;=99,IF(B433&lt;=9,join(,""000"",B433),join(,""00"",B433)),join(,""0"",B433)),B433)"),"0345")</f>
        <v>0345</v>
      </c>
      <c r="E433" s="301" t="s">
        <v>1014</v>
      </c>
      <c r="F433" s="325" t="s">
        <v>20</v>
      </c>
      <c r="G433" s="289" t="str">
        <f t="shared" si="94"/>
        <v>#REF!</v>
      </c>
      <c r="H433" s="408" t="s">
        <v>21</v>
      </c>
      <c r="I433" s="289" t="str">
        <f t="shared" si="95"/>
        <v>#REF!</v>
      </c>
      <c r="J433" s="400" t="s">
        <v>22</v>
      </c>
      <c r="K433" s="328" t="s">
        <v>20</v>
      </c>
      <c r="L433" s="329" t="s">
        <v>95</v>
      </c>
      <c r="M433" s="291" t="s">
        <v>1015</v>
      </c>
      <c r="N433" s="401">
        <v>80.0</v>
      </c>
      <c r="O433" s="439" t="s">
        <v>104</v>
      </c>
      <c r="P433" s="439" t="s">
        <v>606</v>
      </c>
      <c r="Q433" s="414" t="s">
        <v>1330</v>
      </c>
    </row>
    <row r="434" hidden="1">
      <c r="A434" s="469">
        <v>1181.0</v>
      </c>
      <c r="B434" s="469">
        <v>1181.0</v>
      </c>
      <c r="C434" s="416">
        <v>225.0</v>
      </c>
      <c r="D434" s="416">
        <f>IFERROR(__xludf.DUMMYFUNCTION("if(B434&lt;=999,if(B434&lt;=99,IF(B434&lt;=9,join(,""000"",B434),join(,""00"",B434)),join(,""0"",B434)),B434)"),1181.0)</f>
        <v>1181</v>
      </c>
      <c r="E434" s="470" t="s">
        <v>1016</v>
      </c>
      <c r="F434" s="416" t="s">
        <v>20</v>
      </c>
      <c r="G434" s="416" t="str">
        <f t="shared" si="94"/>
        <v>#REF!</v>
      </c>
      <c r="H434" s="416" t="s">
        <v>21</v>
      </c>
      <c r="I434" s="416" t="str">
        <f t="shared" si="95"/>
        <v>#REF!</v>
      </c>
      <c r="J434" s="471" t="s">
        <v>73</v>
      </c>
      <c r="K434" s="472" t="s">
        <v>20</v>
      </c>
      <c r="L434" s="422" t="s">
        <v>95</v>
      </c>
      <c r="M434" s="423" t="s">
        <v>995</v>
      </c>
      <c r="N434" s="423">
        <v>4.0</v>
      </c>
      <c r="O434" s="423" t="s">
        <v>25</v>
      </c>
      <c r="P434" s="423" t="s">
        <v>55</v>
      </c>
      <c r="Q434" s="423" t="s">
        <v>1330</v>
      </c>
    </row>
    <row r="435" hidden="1">
      <c r="A435" s="51">
        <v>1059.0</v>
      </c>
      <c r="B435" s="51">
        <v>1059.0</v>
      </c>
      <c r="C435" s="289"/>
      <c r="D435" s="289">
        <f>IFERROR(__xludf.DUMMYFUNCTION("if(B435&lt;=999,if(B435&lt;=99,IF(B435&lt;=9,join(,""000"",B435),join(,""00"",B435)),join(,""0"",B435)),B435)"),1059.0)</f>
        <v>1059</v>
      </c>
      <c r="E435" s="326" t="s">
        <v>1017</v>
      </c>
      <c r="F435" s="325" t="s">
        <v>20</v>
      </c>
      <c r="G435" s="289" t="str">
        <f t="shared" si="94"/>
        <v>#REF!</v>
      </c>
      <c r="H435" s="408" t="s">
        <v>21</v>
      </c>
      <c r="I435" s="289" t="str">
        <f t="shared" si="95"/>
        <v>#REF!</v>
      </c>
      <c r="J435" s="400" t="s">
        <v>22</v>
      </c>
      <c r="K435" s="328" t="s">
        <v>20</v>
      </c>
      <c r="L435" s="329" t="s">
        <v>95</v>
      </c>
      <c r="M435" s="329" t="s">
        <v>1758</v>
      </c>
      <c r="N435" s="401"/>
      <c r="O435" s="414" t="s">
        <v>25</v>
      </c>
      <c r="P435" s="414" t="s">
        <v>86</v>
      </c>
      <c r="Q435" s="414" t="s">
        <v>1330</v>
      </c>
    </row>
    <row r="436" hidden="1">
      <c r="A436" s="324">
        <v>979.0</v>
      </c>
      <c r="B436" s="415">
        <v>979.0</v>
      </c>
      <c r="C436" s="418"/>
      <c r="D436" s="418" t="str">
        <f>IFERROR(__xludf.DUMMYFUNCTION("if(B436&lt;=999,if(B436&lt;=99,IF(B436&lt;=9,join(,""000"",B436),join(,""00"",B436)),join(,""0"",B436)),B436)"),"0979")</f>
        <v>0979</v>
      </c>
      <c r="E436" s="442" t="s">
        <v>1019</v>
      </c>
      <c r="F436" s="418" t="s">
        <v>20</v>
      </c>
      <c r="G436" s="418" t="str">
        <f t="shared" si="94"/>
        <v>#REF!</v>
      </c>
      <c r="H436" s="419" t="s">
        <v>21</v>
      </c>
      <c r="I436" s="418" t="str">
        <f t="shared" si="95"/>
        <v>#REF!</v>
      </c>
      <c r="J436" s="420" t="s">
        <v>34</v>
      </c>
      <c r="K436" s="421" t="s">
        <v>20</v>
      </c>
      <c r="L436" s="422" t="s">
        <v>95</v>
      </c>
      <c r="M436" s="422" t="s">
        <v>1758</v>
      </c>
      <c r="N436" s="422"/>
      <c r="O436" s="423" t="s">
        <v>25</v>
      </c>
      <c r="P436" s="423" t="s">
        <v>86</v>
      </c>
      <c r="Q436" s="423" t="s">
        <v>1330</v>
      </c>
    </row>
    <row r="437" hidden="1">
      <c r="A437" s="51">
        <v>1080.0</v>
      </c>
      <c r="B437" s="51">
        <v>1080.0</v>
      </c>
      <c r="C437" s="289"/>
      <c r="D437" s="508">
        <f>IFERROR(__xludf.DUMMYFUNCTION("if(B437&lt;=999,if(B437&lt;=99,IF(B437&lt;=9,join(,""000"",B437),join(,""00"",B437)),join(,""0"",B437)),B437)"),1080.0)</f>
        <v>1080</v>
      </c>
      <c r="E437" s="326" t="s">
        <v>1020</v>
      </c>
      <c r="F437" s="325" t="s">
        <v>20</v>
      </c>
      <c r="G437" s="289" t="str">
        <f t="shared" si="94"/>
        <v>#REF!</v>
      </c>
      <c r="H437" s="408" t="s">
        <v>21</v>
      </c>
      <c r="I437" s="289" t="str">
        <f t="shared" si="95"/>
        <v>#REF!</v>
      </c>
      <c r="J437" s="400" t="s">
        <v>73</v>
      </c>
      <c r="K437" s="328" t="s">
        <v>20</v>
      </c>
      <c r="L437" s="329" t="s">
        <v>95</v>
      </c>
      <c r="M437" s="329" t="s">
        <v>1021</v>
      </c>
      <c r="N437" s="401"/>
      <c r="O437" s="329" t="s">
        <v>288</v>
      </c>
      <c r="P437" s="329" t="s">
        <v>55</v>
      </c>
      <c r="Q437" s="414" t="s">
        <v>1330</v>
      </c>
    </row>
    <row r="438">
      <c r="A438" s="51">
        <v>31.0</v>
      </c>
      <c r="B438" s="51">
        <v>31.0</v>
      </c>
      <c r="C438" s="260">
        <v>54.0</v>
      </c>
      <c r="D438" s="260" t="str">
        <f>IFERROR(__xludf.DUMMYFUNCTION("if(B438&lt;=999,if(B438&lt;=99,IF(B438&lt;=9,join(,""000"",B438),join(,""00"",B438)),join(,""0"",B438)),B438)"),"0031")</f>
        <v>0031</v>
      </c>
      <c r="E438" s="270" t="s">
        <v>267</v>
      </c>
      <c r="F438" s="260" t="s">
        <v>20</v>
      </c>
      <c r="G438" s="260" t="str">
        <f t="shared" si="94"/>
        <v>#REF!</v>
      </c>
      <c r="H438" s="410" t="s">
        <v>21</v>
      </c>
      <c r="I438" s="260" t="str">
        <f t="shared" si="95"/>
        <v>#REF!</v>
      </c>
      <c r="J438" s="264" t="s">
        <v>99</v>
      </c>
      <c r="K438" s="411" t="str">
        <f>vlookup(D438,'Elligible Training Institutes R'!$D$9:$L$19,9,false)</f>
        <v>#N/A</v>
      </c>
      <c r="L438" s="329" t="s">
        <v>23</v>
      </c>
      <c r="M438" s="329" t="s">
        <v>1455</v>
      </c>
      <c r="N438" s="401" t="s">
        <v>266</v>
      </c>
      <c r="O438" s="329" t="s">
        <v>1456</v>
      </c>
      <c r="P438" s="329" t="s">
        <v>1456</v>
      </c>
      <c r="Q438" s="412" t="s">
        <v>87</v>
      </c>
    </row>
    <row r="439" hidden="1">
      <c r="A439" s="51">
        <v>1318.0</v>
      </c>
      <c r="B439" s="51">
        <v>1318.0</v>
      </c>
      <c r="C439" s="289"/>
      <c r="D439" s="289">
        <f>IFERROR(__xludf.DUMMYFUNCTION("if(B439&lt;=999,if(B439&lt;=99,IF(B439&lt;=9,join(,""000"",B439),join(,""00"",B439)),join(,""0"",B439)),B439)"),1318.0)</f>
        <v>1318</v>
      </c>
      <c r="E439" s="326" t="s">
        <v>1024</v>
      </c>
      <c r="F439" s="325" t="s">
        <v>20</v>
      </c>
      <c r="G439" s="289" t="str">
        <f t="shared" si="94"/>
        <v>#REF!</v>
      </c>
      <c r="H439" s="408" t="s">
        <v>21</v>
      </c>
      <c r="I439" s="289" t="str">
        <f t="shared" si="95"/>
        <v>#REF!</v>
      </c>
      <c r="J439" s="400" t="s">
        <v>22</v>
      </c>
      <c r="K439" s="328" t="s">
        <v>20</v>
      </c>
      <c r="L439" s="329" t="s">
        <v>95</v>
      </c>
      <c r="M439" s="291" t="s">
        <v>1759</v>
      </c>
      <c r="N439" s="401">
        <v>25001.0</v>
      </c>
      <c r="O439" s="414" t="s">
        <v>25</v>
      </c>
      <c r="P439" s="329" t="s">
        <v>55</v>
      </c>
      <c r="Q439" s="414" t="s">
        <v>1330</v>
      </c>
    </row>
    <row r="440" hidden="1">
      <c r="A440" s="51">
        <v>1071.0</v>
      </c>
      <c r="B440" s="51">
        <v>1071.0</v>
      </c>
      <c r="C440" s="289"/>
      <c r="D440" s="289">
        <f>IFERROR(__xludf.DUMMYFUNCTION("if(B440&lt;=999,if(B440&lt;=99,IF(B440&lt;=9,join(,""000"",B440),join(,""00"",B440)),join(,""0"",B440)),B440)"),1071.0)</f>
        <v>1071</v>
      </c>
      <c r="E440" s="326" t="s">
        <v>1025</v>
      </c>
      <c r="F440" s="325" t="s">
        <v>20</v>
      </c>
      <c r="G440" s="289" t="str">
        <f t="shared" si="94"/>
        <v>#REF!</v>
      </c>
      <c r="H440" s="408" t="s">
        <v>21</v>
      </c>
      <c r="I440" s="289" t="str">
        <f t="shared" si="95"/>
        <v>#REF!</v>
      </c>
      <c r="J440" s="400" t="s">
        <v>101</v>
      </c>
      <c r="K440" s="328" t="s">
        <v>20</v>
      </c>
      <c r="L440" s="329" t="s">
        <v>95</v>
      </c>
      <c r="M440" s="329" t="s">
        <v>1760</v>
      </c>
      <c r="N440" s="401" t="s">
        <v>1026</v>
      </c>
      <c r="O440" s="329" t="s">
        <v>25</v>
      </c>
      <c r="P440" s="329" t="s">
        <v>86</v>
      </c>
      <c r="Q440" s="430" t="s">
        <v>1330</v>
      </c>
    </row>
    <row r="441" hidden="1">
      <c r="A441" s="324">
        <v>239.0</v>
      </c>
      <c r="B441" s="415">
        <v>239.0</v>
      </c>
      <c r="C441" s="418"/>
      <c r="D441" s="416" t="str">
        <f>IFERROR(__xludf.DUMMYFUNCTION("if(B445&lt;=999,if(B445&lt;=99,IF(B445&lt;=9,join(,""000"",B445),join(,""00"",B445)),join(,""0"",B445)),B445)"),"0739")</f>
        <v>0739</v>
      </c>
      <c r="E441" s="442" t="s">
        <v>1027</v>
      </c>
      <c r="F441" s="418" t="s">
        <v>20</v>
      </c>
      <c r="G441" s="418" t="str">
        <f>VLOOKUP(#REF!,'Copy of Form Responses; CCTV Infra 1'!$G$2:$I$675,2,false)</f>
        <v>#REF!</v>
      </c>
      <c r="H441" s="419" t="s">
        <v>21</v>
      </c>
      <c r="I441" s="418" t="str">
        <f>VLOOKUP(#REF!,'Copy of Form Responses; CCTV Infra 1'!$G$2:$I$675,3,false)</f>
        <v>#REF!</v>
      </c>
      <c r="J441" s="420" t="s">
        <v>22</v>
      </c>
      <c r="K441" s="421" t="s">
        <v>20</v>
      </c>
      <c r="L441" s="422" t="s">
        <v>95</v>
      </c>
      <c r="M441" s="422" t="s">
        <v>1761</v>
      </c>
      <c r="N441" s="422">
        <v>8080.0</v>
      </c>
      <c r="O441" s="422" t="s">
        <v>25</v>
      </c>
      <c r="P441" s="422" t="s">
        <v>1762</v>
      </c>
      <c r="Q441" s="466" t="s">
        <v>1330</v>
      </c>
    </row>
    <row r="442" hidden="1">
      <c r="A442" s="33">
        <v>1252.0</v>
      </c>
      <c r="B442" s="34">
        <v>1252.0</v>
      </c>
      <c r="C442" s="289">
        <v>226.0</v>
      </c>
      <c r="D442" s="289">
        <f>IFERROR(__xludf.DUMMYFUNCTION("if(B442&lt;=999,if(B442&lt;=99,IF(B442&lt;=9,join(,""000"",B442),join(,""00"",B442)),join(,""0"",B442)),B442)"),1252.0)</f>
        <v>1252</v>
      </c>
      <c r="E442" s="296" t="s">
        <v>1028</v>
      </c>
      <c r="F442" s="289" t="s">
        <v>20</v>
      </c>
      <c r="G442" s="289" t="str">
        <f>VLOOKUP(D442,'Copy of Form Responses; CCTV Infra 1'!$G$2:$I$675,2,false)</f>
        <v>#REF!</v>
      </c>
      <c r="H442" s="399" t="s">
        <v>21</v>
      </c>
      <c r="I442" s="289" t="str">
        <f>VLOOKUP(D442,'Copy of Form Responses; CCTV Infra 1'!$G$2:$I$675,3,false)</f>
        <v>#REF!</v>
      </c>
      <c r="J442" s="400" t="s">
        <v>22</v>
      </c>
      <c r="K442" s="290" t="s">
        <v>20</v>
      </c>
      <c r="L442" s="401" t="s">
        <v>254</v>
      </c>
      <c r="M442" s="401" t="s">
        <v>1030</v>
      </c>
      <c r="N442" s="401" t="s">
        <v>1029</v>
      </c>
      <c r="O442" s="401" t="s">
        <v>25</v>
      </c>
      <c r="P442" s="499" t="s">
        <v>980</v>
      </c>
      <c r="Q442" s="414" t="s">
        <v>1330</v>
      </c>
    </row>
    <row r="443" ht="15.75" hidden="1" customHeight="1">
      <c r="A443" s="51">
        <v>1216.0</v>
      </c>
      <c r="B443" s="51">
        <v>1216.0</v>
      </c>
      <c r="C443" s="289">
        <v>227.0</v>
      </c>
      <c r="D443" s="289">
        <f>IFERROR(__xludf.DUMMYFUNCTION("if(B443&lt;=999,if(B443&lt;=99,IF(B443&lt;=9,join(,""000"",B443),join(,""00"",B443)),join(,""0"",B443)),B443)"),1216.0)</f>
        <v>1216</v>
      </c>
      <c r="E443" s="301" t="s">
        <v>1031</v>
      </c>
      <c r="F443" s="325" t="s">
        <v>20</v>
      </c>
      <c r="G443" s="289" t="s">
        <v>1763</v>
      </c>
      <c r="H443" s="408" t="s">
        <v>21</v>
      </c>
      <c r="I443" s="289">
        <v>9.917762048E9</v>
      </c>
      <c r="J443" s="400" t="s">
        <v>22</v>
      </c>
      <c r="K443" s="328" t="s">
        <v>20</v>
      </c>
      <c r="L443" s="401" t="s">
        <v>254</v>
      </c>
      <c r="M443" s="499" t="s">
        <v>1030</v>
      </c>
      <c r="N443" s="401" t="e">
        <v>#N/A</v>
      </c>
      <c r="O443" s="329" t="s">
        <v>25</v>
      </c>
      <c r="P443" s="499" t="s">
        <v>980</v>
      </c>
      <c r="Q443" s="414" t="s">
        <v>1330</v>
      </c>
    </row>
    <row r="444">
      <c r="A444" s="33">
        <v>1406.0</v>
      </c>
      <c r="B444" s="34">
        <v>1406.0</v>
      </c>
      <c r="C444" s="260">
        <v>55.0</v>
      </c>
      <c r="D444" s="260">
        <f>IFERROR(__xludf.DUMMYFUNCTION("if(B444&lt;=999,if(B444&lt;=99,IF(B444&lt;=9,join(,""000"",B444),join(,""00"",B444)),join(,""0"",B444)),B444)"),1406.0)</f>
        <v>1406</v>
      </c>
      <c r="E444" s="270" t="s">
        <v>1033</v>
      </c>
      <c r="F444" s="260" t="s">
        <v>35</v>
      </c>
      <c r="G444" s="260" t="str">
        <f>VLOOKUP(D444,'Copy of Form Responses; CCTV Infra 1'!$G$2:$I$675,2,false)</f>
        <v>#REF!</v>
      </c>
      <c r="H444" s="410" t="s">
        <v>21</v>
      </c>
      <c r="I444" s="260" t="str">
        <f>VLOOKUP(D444,'Copy of Form Responses; CCTV Infra 1'!$G$2:$I$675,3,false)</f>
        <v>#REF!</v>
      </c>
      <c r="J444" s="264"/>
      <c r="K444" s="411" t="str">
        <f>vlookup(D444,'Elligible Training Institutes R'!$D$9:$L$19,9,false)</f>
        <v>#N/A</v>
      </c>
      <c r="L444" s="401"/>
      <c r="M444" s="401"/>
      <c r="N444" s="401" t="e">
        <v>#N/A</v>
      </c>
      <c r="O444" s="401"/>
      <c r="P444" s="401"/>
      <c r="Q444" s="412" t="s">
        <v>1423</v>
      </c>
    </row>
    <row r="445" hidden="1">
      <c r="A445" s="469">
        <v>739.0</v>
      </c>
      <c r="B445" s="469">
        <v>739.0</v>
      </c>
      <c r="C445" s="416"/>
      <c r="D445" s="509"/>
      <c r="E445" s="510" t="s">
        <v>1034</v>
      </c>
      <c r="F445" s="416" t="s">
        <v>20</v>
      </c>
      <c r="G445" s="416" t="s">
        <v>1764</v>
      </c>
      <c r="H445" s="416" t="s">
        <v>21</v>
      </c>
      <c r="I445" s="416">
        <v>9.76182961E9</v>
      </c>
      <c r="J445" s="471" t="s">
        <v>22</v>
      </c>
      <c r="K445" s="472" t="s">
        <v>20</v>
      </c>
      <c r="L445" s="493" t="s">
        <v>1035</v>
      </c>
      <c r="M445" s="493" t="s">
        <v>1765</v>
      </c>
      <c r="N445" s="423" t="s">
        <v>1037</v>
      </c>
      <c r="O445" s="423" t="s">
        <v>25</v>
      </c>
      <c r="P445" s="423" t="s">
        <v>1038</v>
      </c>
      <c r="Q445" s="423" t="s">
        <v>1330</v>
      </c>
    </row>
    <row r="446" hidden="1">
      <c r="A446" s="51">
        <v>119.0</v>
      </c>
      <c r="B446" s="51">
        <v>119.0</v>
      </c>
      <c r="C446" s="298">
        <v>228.0</v>
      </c>
      <c r="D446" s="289" t="str">
        <f>IFERROR(__xludf.DUMMYFUNCTION("if(B446&lt;=999,if(B446&lt;=99,IF(B446&lt;=9,join(,""000"",B446),join(,""00"",B446)),join(,""0"",B446)),B446)"),"0119")</f>
        <v>0119</v>
      </c>
      <c r="E446" s="301" t="s">
        <v>1039</v>
      </c>
      <c r="F446" s="325" t="s">
        <v>20</v>
      </c>
      <c r="G446" s="289" t="s">
        <v>1040</v>
      </c>
      <c r="H446" s="408" t="s">
        <v>21</v>
      </c>
      <c r="I446" s="289">
        <v>9.76182961E9</v>
      </c>
      <c r="J446" s="400" t="s">
        <v>22</v>
      </c>
      <c r="K446" s="328" t="s">
        <v>20</v>
      </c>
      <c r="L446" s="428" t="s">
        <v>1035</v>
      </c>
      <c r="M446" s="329" t="s">
        <v>1041</v>
      </c>
      <c r="N446" s="401">
        <v>81.0</v>
      </c>
      <c r="O446" s="414" t="s">
        <v>25</v>
      </c>
      <c r="P446" s="414" t="s">
        <v>1038</v>
      </c>
      <c r="Q446" s="414" t="s">
        <v>1330</v>
      </c>
    </row>
    <row r="447" hidden="1">
      <c r="A447" s="324">
        <v>87.0</v>
      </c>
      <c r="B447" s="324">
        <v>87.0</v>
      </c>
      <c r="C447" s="418">
        <v>229.0</v>
      </c>
      <c r="D447" s="418" t="str">
        <f>IFERROR(__xludf.DUMMYFUNCTION("if(B447&lt;=999,if(B447&lt;=99,IF(B447&lt;=9,join(,""000"",B447),join(,""00"",B447)),join(,""0"",B447)),B447)"),"0087")</f>
        <v>0087</v>
      </c>
      <c r="E447" s="417" t="s">
        <v>1042</v>
      </c>
      <c r="F447" s="418" t="s">
        <v>20</v>
      </c>
      <c r="G447" s="418" t="s">
        <v>1040</v>
      </c>
      <c r="H447" s="419" t="s">
        <v>21</v>
      </c>
      <c r="I447" s="418">
        <v>9.76182961E9</v>
      </c>
      <c r="J447" s="420" t="s">
        <v>34</v>
      </c>
      <c r="K447" s="421" t="s">
        <v>20</v>
      </c>
      <c r="L447" s="493" t="s">
        <v>1035</v>
      </c>
      <c r="M447" s="422" t="s">
        <v>1041</v>
      </c>
      <c r="N447" s="422">
        <v>81.0</v>
      </c>
      <c r="O447" s="423" t="s">
        <v>25</v>
      </c>
      <c r="P447" s="423" t="s">
        <v>1038</v>
      </c>
      <c r="Q447" s="423" t="s">
        <v>1330</v>
      </c>
    </row>
    <row r="448" hidden="1">
      <c r="A448" s="51">
        <v>1280.0</v>
      </c>
      <c r="B448" s="51">
        <v>1280.0</v>
      </c>
      <c r="C448" s="289"/>
      <c r="D448" s="289">
        <f>IFERROR(__xludf.DUMMYFUNCTION("if(B448&lt;=999,if(B448&lt;=99,IF(B448&lt;=9,join(,""000"",B448),join(,""00"",B448)),join(,""0"",B448)),B448)"),1280.0)</f>
        <v>1280</v>
      </c>
      <c r="E448" s="326" t="s">
        <v>1043</v>
      </c>
      <c r="F448" s="325" t="s">
        <v>20</v>
      </c>
      <c r="G448" s="289" t="str">
        <f>VLOOKUP(D448,'Copy of Form Responses; CCTV Infra 1'!$G$2:$I$675,2,false)</f>
        <v>#REF!</v>
      </c>
      <c r="H448" s="408" t="s">
        <v>21</v>
      </c>
      <c r="I448" s="289" t="str">
        <f>VLOOKUP(D448,'Copy of Form Responses; CCTV Infra 1'!$G$2:$I$675,3,false)</f>
        <v>#REF!</v>
      </c>
      <c r="J448" s="413" t="s">
        <v>34</v>
      </c>
      <c r="K448" s="328" t="s">
        <v>20</v>
      </c>
      <c r="L448" s="329" t="s">
        <v>95</v>
      </c>
      <c r="M448" s="329" t="s">
        <v>1766</v>
      </c>
      <c r="N448" s="401" t="s">
        <v>244</v>
      </c>
      <c r="O448" s="329" t="s">
        <v>25</v>
      </c>
      <c r="P448" s="329" t="s">
        <v>893</v>
      </c>
      <c r="Q448" s="430" t="s">
        <v>1330</v>
      </c>
    </row>
    <row r="449" hidden="1">
      <c r="A449" s="51">
        <v>251.0</v>
      </c>
      <c r="B449" s="51">
        <v>251.0</v>
      </c>
      <c r="C449" s="289"/>
      <c r="D449" s="289" t="str">
        <f>IFERROR(__xludf.DUMMYFUNCTION("if(B449&lt;=999,if(B449&lt;=99,IF(B449&lt;=9,join(,""000"",B449),join(,""00"",B449)),join(,""0"",B449)),B449)"),"0251")</f>
        <v>0251</v>
      </c>
      <c r="E449" s="326" t="s">
        <v>1044</v>
      </c>
      <c r="F449" s="325" t="s">
        <v>20</v>
      </c>
      <c r="G449" s="289" t="s">
        <v>1767</v>
      </c>
      <c r="H449" s="408" t="s">
        <v>21</v>
      </c>
      <c r="I449" s="289">
        <v>8.532808073E9</v>
      </c>
      <c r="J449" s="413"/>
      <c r="K449" s="328" t="s">
        <v>20</v>
      </c>
      <c r="L449" s="329" t="s">
        <v>95</v>
      </c>
      <c r="M449" s="329" t="s">
        <v>1768</v>
      </c>
      <c r="N449" s="401" t="e">
        <v>#N/A</v>
      </c>
      <c r="O449" s="329" t="s">
        <v>25</v>
      </c>
      <c r="P449" s="329" t="s">
        <v>1769</v>
      </c>
      <c r="Q449" s="430" t="s">
        <v>1330</v>
      </c>
    </row>
    <row r="450" hidden="1">
      <c r="A450" s="51">
        <v>1197.0</v>
      </c>
      <c r="B450" s="51">
        <v>1197.0</v>
      </c>
      <c r="C450" s="289"/>
      <c r="D450" s="289">
        <f>IFERROR(__xludf.DUMMYFUNCTION("if(B450&lt;=999,if(B450&lt;=99,IF(B450&lt;=9,join(,""000"",B450),join(,""00"",B450)),join(,""0"",B450)),B450)"),1197.0)</f>
        <v>1197</v>
      </c>
      <c r="E450" s="326" t="s">
        <v>1045</v>
      </c>
      <c r="F450" s="325" t="s">
        <v>20</v>
      </c>
      <c r="G450" s="289" t="str">
        <f t="shared" ref="G450:G457" si="96">VLOOKUP(D450,'Copy of Form Responses; CCTV Infra 1'!$G$2:$I$675,2,false)</f>
        <v>#REF!</v>
      </c>
      <c r="H450" s="408" t="s">
        <v>21</v>
      </c>
      <c r="I450" s="289" t="str">
        <f t="shared" ref="I450:I457" si="97">VLOOKUP(D450,'Copy of Form Responses; CCTV Infra 1'!$G$2:$I$675,3,false)</f>
        <v>#REF!</v>
      </c>
      <c r="J450" s="413" t="s">
        <v>1701</v>
      </c>
      <c r="K450" s="328" t="s">
        <v>20</v>
      </c>
      <c r="L450" s="329" t="s">
        <v>95</v>
      </c>
      <c r="M450" s="291" t="s">
        <v>1770</v>
      </c>
      <c r="N450" s="401" t="s">
        <v>1046</v>
      </c>
      <c r="O450" s="329" t="s">
        <v>1771</v>
      </c>
      <c r="P450" s="329" t="s">
        <v>1772</v>
      </c>
      <c r="Q450" s="430" t="s">
        <v>1773</v>
      </c>
    </row>
    <row r="451">
      <c r="A451" s="51">
        <v>1273.0</v>
      </c>
      <c r="B451" s="51">
        <v>1273.0</v>
      </c>
      <c r="C451" s="260">
        <v>56.0</v>
      </c>
      <c r="D451" s="260">
        <f>IFERROR(__xludf.DUMMYFUNCTION("if(B451&lt;=999,if(B451&lt;=99,IF(B451&lt;=9,join(,""000"",B451),join(,""00"",B451)),join(,""0"",B451)),B451)"),1273.0)</f>
        <v>1273</v>
      </c>
      <c r="E451" s="270" t="s">
        <v>322</v>
      </c>
      <c r="F451" s="260" t="s">
        <v>20</v>
      </c>
      <c r="G451" s="260" t="str">
        <f t="shared" si="96"/>
        <v>#REF!</v>
      </c>
      <c r="H451" s="410" t="s">
        <v>21</v>
      </c>
      <c r="I451" s="260" t="str">
        <f t="shared" si="97"/>
        <v>#REF!</v>
      </c>
      <c r="J451" s="264" t="s">
        <v>99</v>
      </c>
      <c r="K451" s="411" t="str">
        <f>vlookup(D451,'Elligible Training Institutes R'!$D$9:$L$19,9,false)</f>
        <v>#N/A</v>
      </c>
      <c r="L451" s="329"/>
      <c r="M451" s="329" t="s">
        <v>1431</v>
      </c>
      <c r="N451" s="401"/>
      <c r="O451" s="329"/>
      <c r="P451" s="329"/>
      <c r="Q451" s="412" t="s">
        <v>50</v>
      </c>
    </row>
    <row r="452">
      <c r="A452" s="33">
        <v>1096.0</v>
      </c>
      <c r="B452" s="34">
        <v>1096.0</v>
      </c>
      <c r="C452" s="260">
        <v>57.0</v>
      </c>
      <c r="D452" s="260">
        <f>IFERROR(__xludf.DUMMYFUNCTION("if(B452&lt;=999,if(B452&lt;=99,IF(B452&lt;=9,join(,""000"",B452),join(,""00"",B452)),join(,""0"",B452)),B452)"),1096.0)</f>
        <v>1096</v>
      </c>
      <c r="E452" s="270" t="s">
        <v>416</v>
      </c>
      <c r="F452" s="260" t="s">
        <v>20</v>
      </c>
      <c r="G452" s="260" t="str">
        <f t="shared" si="96"/>
        <v>#REF!</v>
      </c>
      <c r="H452" s="410" t="s">
        <v>21</v>
      </c>
      <c r="I452" s="260" t="str">
        <f t="shared" si="97"/>
        <v>#REF!</v>
      </c>
      <c r="J452" s="264" t="s">
        <v>99</v>
      </c>
      <c r="K452" s="411" t="str">
        <f>vlookup(D452,'Elligible Training Institutes R'!$D$9:$L$19,9,false)</f>
        <v>#N/A</v>
      </c>
      <c r="L452" s="511" t="s">
        <v>95</v>
      </c>
      <c r="M452" s="511" t="s">
        <v>1458</v>
      </c>
      <c r="N452" s="401" t="e">
        <v>#N/A</v>
      </c>
      <c r="O452" s="511" t="s">
        <v>25</v>
      </c>
      <c r="P452" s="511" t="s">
        <v>163</v>
      </c>
      <c r="Q452" s="441" t="s">
        <v>87</v>
      </c>
    </row>
    <row r="453" hidden="1">
      <c r="A453" s="51">
        <v>518.0</v>
      </c>
      <c r="B453" s="51">
        <v>518.0</v>
      </c>
      <c r="C453" s="289"/>
      <c r="D453" s="289" t="str">
        <f>IFERROR(__xludf.DUMMYFUNCTION("if(B453&lt;=999,if(B453&lt;=99,IF(B453&lt;=9,join(,""000"",B453),join(,""00"",B453)),join(,""0"",B453)),B453)"),"0518")</f>
        <v>0518</v>
      </c>
      <c r="E453" s="326" t="s">
        <v>1052</v>
      </c>
      <c r="F453" s="325" t="s">
        <v>20</v>
      </c>
      <c r="G453" s="289" t="str">
        <f t="shared" si="96"/>
        <v>#REF!</v>
      </c>
      <c r="H453" s="408" t="s">
        <v>21</v>
      </c>
      <c r="I453" s="289" t="str">
        <f t="shared" si="97"/>
        <v>#REF!</v>
      </c>
      <c r="J453" s="400" t="s">
        <v>22</v>
      </c>
      <c r="K453" s="328" t="s">
        <v>20</v>
      </c>
      <c r="L453" s="329" t="s">
        <v>95</v>
      </c>
      <c r="M453" s="329" t="s">
        <v>1774</v>
      </c>
      <c r="N453" s="401">
        <v>32.0</v>
      </c>
      <c r="O453" s="329" t="s">
        <v>25</v>
      </c>
      <c r="P453" s="329" t="s">
        <v>163</v>
      </c>
      <c r="Q453" s="414" t="s">
        <v>1330</v>
      </c>
    </row>
    <row r="454" hidden="1">
      <c r="A454" s="51">
        <v>338.0</v>
      </c>
      <c r="B454" s="51">
        <v>338.0</v>
      </c>
      <c r="C454" s="289">
        <v>230.0</v>
      </c>
      <c r="D454" s="289" t="str">
        <f>IFERROR(__xludf.DUMMYFUNCTION("if(B454&lt;=999,if(B454&lt;=99,IF(B454&lt;=9,join(,""000"",B454),join(,""00"",B454)),join(,""0"",B454)),B454)"),"0338")</f>
        <v>0338</v>
      </c>
      <c r="E454" s="301" t="s">
        <v>1053</v>
      </c>
      <c r="F454" s="325" t="s">
        <v>20</v>
      </c>
      <c r="G454" s="289" t="str">
        <f t="shared" si="96"/>
        <v>#REF!</v>
      </c>
      <c r="H454" s="408" t="s">
        <v>21</v>
      </c>
      <c r="I454" s="289" t="str">
        <f t="shared" si="97"/>
        <v>#REF!</v>
      </c>
      <c r="J454" s="400" t="s">
        <v>22</v>
      </c>
      <c r="K454" s="328" t="s">
        <v>20</v>
      </c>
      <c r="L454" s="329" t="s">
        <v>95</v>
      </c>
      <c r="M454" s="291" t="s">
        <v>1054</v>
      </c>
      <c r="N454" s="401" t="s">
        <v>684</v>
      </c>
      <c r="O454" s="329" t="s">
        <v>25</v>
      </c>
      <c r="P454" s="329" t="s">
        <v>86</v>
      </c>
      <c r="Q454" s="414" t="s">
        <v>1330</v>
      </c>
    </row>
    <row r="455" hidden="1">
      <c r="A455" s="51">
        <v>1374.0</v>
      </c>
      <c r="B455" s="51">
        <v>1374.0</v>
      </c>
      <c r="C455" s="298">
        <v>231.0</v>
      </c>
      <c r="D455" s="289">
        <f>IFERROR(__xludf.DUMMYFUNCTION("if(B455&lt;=999,if(B455&lt;=99,IF(B455&lt;=9,join(,""000"",B455),join(,""00"",B455)),join(,""0"",B455)),B455)"),1374.0)</f>
        <v>1374</v>
      </c>
      <c r="E455" s="301" t="s">
        <v>1055</v>
      </c>
      <c r="F455" s="325" t="s">
        <v>20</v>
      </c>
      <c r="G455" s="289" t="str">
        <f t="shared" si="96"/>
        <v>#REF!</v>
      </c>
      <c r="H455" s="408" t="s">
        <v>21</v>
      </c>
      <c r="I455" s="289" t="str">
        <f t="shared" si="97"/>
        <v>#REF!</v>
      </c>
      <c r="J455" s="400" t="s">
        <v>22</v>
      </c>
      <c r="K455" s="328" t="s">
        <v>20</v>
      </c>
      <c r="L455" s="329" t="s">
        <v>28</v>
      </c>
      <c r="M455" s="329" t="s">
        <v>1056</v>
      </c>
      <c r="N455" s="401" t="e">
        <v>#N/A</v>
      </c>
      <c r="O455" s="329" t="s">
        <v>25</v>
      </c>
      <c r="P455" s="329" t="s">
        <v>86</v>
      </c>
      <c r="Q455" s="414" t="s">
        <v>1330</v>
      </c>
    </row>
    <row r="456" hidden="1">
      <c r="A456" s="51">
        <v>1286.0</v>
      </c>
      <c r="B456" s="51">
        <v>1286.0</v>
      </c>
      <c r="C456" s="289">
        <v>232.0</v>
      </c>
      <c r="D456" s="289">
        <f>IFERROR(__xludf.DUMMYFUNCTION("if(B456&lt;=999,if(B456&lt;=99,IF(B456&lt;=9,join(,""000"",B456),join(,""00"",B456)),join(,""0"",B456)),B456)"),1286.0)</f>
        <v>1286</v>
      </c>
      <c r="E456" s="301" t="s">
        <v>1057</v>
      </c>
      <c r="F456" s="325" t="s">
        <v>20</v>
      </c>
      <c r="G456" s="289" t="str">
        <f t="shared" si="96"/>
        <v>#REF!</v>
      </c>
      <c r="H456" s="408" t="s">
        <v>21</v>
      </c>
      <c r="I456" s="289" t="str">
        <f t="shared" si="97"/>
        <v>#REF!</v>
      </c>
      <c r="J456" s="413" t="s">
        <v>22</v>
      </c>
      <c r="K456" s="328" t="s">
        <v>20</v>
      </c>
      <c r="L456" s="329" t="s">
        <v>28</v>
      </c>
      <c r="M456" s="329" t="s">
        <v>1056</v>
      </c>
      <c r="N456" s="401">
        <v>29.0</v>
      </c>
      <c r="O456" s="329" t="s">
        <v>25</v>
      </c>
      <c r="P456" s="329" t="s">
        <v>86</v>
      </c>
      <c r="Q456" s="414" t="s">
        <v>1330</v>
      </c>
    </row>
    <row r="457">
      <c r="A457" s="33">
        <v>1399.0</v>
      </c>
      <c r="B457" s="34">
        <v>1399.0</v>
      </c>
      <c r="C457" s="260">
        <v>58.0</v>
      </c>
      <c r="D457" s="260">
        <f>IFERROR(__xludf.DUMMYFUNCTION("if(B457&lt;=999,if(B457&lt;=99,IF(B457&lt;=9,join(,""000"",B457),join(,""00"",B457)),join(,""0"",B457)),B457)"),1399.0)</f>
        <v>1399</v>
      </c>
      <c r="E457" s="270" t="s">
        <v>494</v>
      </c>
      <c r="F457" s="260" t="s">
        <v>20</v>
      </c>
      <c r="G457" s="260" t="str">
        <f t="shared" si="96"/>
        <v>#REF!</v>
      </c>
      <c r="H457" s="410" t="s">
        <v>21</v>
      </c>
      <c r="I457" s="260" t="str">
        <f t="shared" si="97"/>
        <v>#REF!</v>
      </c>
      <c r="J457" s="264" t="s">
        <v>495</v>
      </c>
      <c r="K457" s="411" t="str">
        <f>vlookup(D457,'Elligible Training Institutes R'!$D$9:$L$19,9,false)</f>
        <v>#N/A</v>
      </c>
      <c r="L457" s="401" t="s">
        <v>95</v>
      </c>
      <c r="M457" s="401" t="s">
        <v>1459</v>
      </c>
      <c r="N457" s="401">
        <v>5005.0</v>
      </c>
      <c r="O457" s="401" t="s">
        <v>25</v>
      </c>
      <c r="P457" s="401" t="s">
        <v>55</v>
      </c>
      <c r="Q457" s="441" t="s">
        <v>50</v>
      </c>
    </row>
    <row r="458" hidden="1">
      <c r="A458" s="51">
        <v>1153.0</v>
      </c>
      <c r="B458" s="51">
        <v>1153.0</v>
      </c>
      <c r="C458" s="289"/>
      <c r="D458" s="289">
        <f>IFERROR(__xludf.DUMMYFUNCTION("if(B458&lt;=999,if(B458&lt;=99,IF(B458&lt;=9,join(,""000"",B458),join(,""00"",B458)),join(,""0"",B458)),B458)"),1153.0)</f>
        <v>1153</v>
      </c>
      <c r="E458" s="326" t="s">
        <v>1059</v>
      </c>
      <c r="F458" s="325" t="s">
        <v>20</v>
      </c>
      <c r="G458" s="289" t="s">
        <v>1775</v>
      </c>
      <c r="H458" s="408" t="s">
        <v>21</v>
      </c>
      <c r="I458" s="289">
        <v>7.983533252E9</v>
      </c>
      <c r="J458" s="413" t="s">
        <v>1701</v>
      </c>
      <c r="K458" s="328" t="s">
        <v>20</v>
      </c>
      <c r="L458" s="329" t="s">
        <v>95</v>
      </c>
      <c r="M458" s="329" t="s">
        <v>1776</v>
      </c>
      <c r="N458" s="401">
        <v>16.0</v>
      </c>
      <c r="O458" s="329" t="s">
        <v>25</v>
      </c>
      <c r="P458" s="329" t="s">
        <v>86</v>
      </c>
      <c r="Q458" s="430" t="s">
        <v>1330</v>
      </c>
    </row>
    <row r="459">
      <c r="A459" s="51">
        <v>467.0</v>
      </c>
      <c r="B459" s="51">
        <v>467.0</v>
      </c>
      <c r="C459" s="260">
        <v>59.0</v>
      </c>
      <c r="D459" s="260" t="str">
        <f>IFERROR(__xludf.DUMMYFUNCTION("if(B459&lt;=999,if(B459&lt;=99,IF(B459&lt;=9,join(,""000"",B459),join(,""00"",B459)),join(,""0"",B459)),B459)"),"0467")</f>
        <v>0467</v>
      </c>
      <c r="E459" s="270" t="s">
        <v>1060</v>
      </c>
      <c r="F459" s="260" t="s">
        <v>35</v>
      </c>
      <c r="G459" s="260" t="str">
        <f t="shared" ref="G459:G460" si="98">VLOOKUP(D459,'Copy of Form Responses; CCTV Infra 1'!$G$2:$I$675,2,false)</f>
        <v>#REF!</v>
      </c>
      <c r="H459" s="410" t="s">
        <v>21</v>
      </c>
      <c r="I459" s="260" t="str">
        <f t="shared" ref="I459:I460" si="99">VLOOKUP(D459,'Copy of Form Responses; CCTV Infra 1'!$G$2:$I$675,3,false)</f>
        <v>#REF!</v>
      </c>
      <c r="J459" s="264"/>
      <c r="K459" s="411" t="str">
        <f>vlookup(D459,'Elligible Training Institutes R'!$D$9:$L$19,9,false)</f>
        <v>#N/A</v>
      </c>
      <c r="L459" s="329"/>
      <c r="M459" s="329"/>
      <c r="N459" s="401" t="e">
        <v>#N/A</v>
      </c>
      <c r="O459" s="329"/>
      <c r="P459" s="329"/>
      <c r="Q459" s="412" t="s">
        <v>1423</v>
      </c>
    </row>
    <row r="460" hidden="1">
      <c r="A460" s="45">
        <v>1371.0</v>
      </c>
      <c r="B460" s="45">
        <v>1371.0</v>
      </c>
      <c r="C460" s="289">
        <v>233.0</v>
      </c>
      <c r="D460" s="298">
        <f>IFERROR(__xludf.DUMMYFUNCTION("if(B460&lt;=999,if(B460&lt;=99,IF(B460&lt;=9,join(,""000"",B460),join(,""00"",B460)),join(,""0"",B460)),B460)"),1371.0)</f>
        <v>1371</v>
      </c>
      <c r="E460" s="299" t="s">
        <v>1061</v>
      </c>
      <c r="F460" s="298" t="s">
        <v>20</v>
      </c>
      <c r="G460" s="298" t="str">
        <f t="shared" si="98"/>
        <v>#REF!</v>
      </c>
      <c r="H460" s="298" t="s">
        <v>21</v>
      </c>
      <c r="I460" s="298" t="str">
        <f t="shared" si="99"/>
        <v>#REF!</v>
      </c>
      <c r="J460" s="405" t="s">
        <v>22</v>
      </c>
      <c r="K460" s="406" t="s">
        <v>20</v>
      </c>
      <c r="L460" s="407" t="s">
        <v>95</v>
      </c>
      <c r="M460" s="428" t="s">
        <v>1062</v>
      </c>
      <c r="N460" s="407">
        <v>32.0</v>
      </c>
      <c r="O460" s="429" t="s">
        <v>25</v>
      </c>
      <c r="P460" s="429" t="s">
        <v>1063</v>
      </c>
      <c r="Q460" s="414" t="s">
        <v>1330</v>
      </c>
    </row>
    <row r="461" hidden="1">
      <c r="A461" s="51">
        <v>1325.0</v>
      </c>
      <c r="B461" s="51">
        <v>1325.0</v>
      </c>
      <c r="C461" s="289"/>
      <c r="D461" s="289">
        <f>IFERROR(__xludf.DUMMYFUNCTION("if(B461&lt;=999,if(B461&lt;=99,IF(B461&lt;=9,join(,""000"",B461),join(,""00"",B461)),join(,""0"",B461)),B461)"),1325.0)</f>
        <v>1325</v>
      </c>
      <c r="E461" s="326" t="s">
        <v>1064</v>
      </c>
      <c r="F461" s="325" t="s">
        <v>20</v>
      </c>
      <c r="G461" s="289" t="s">
        <v>1777</v>
      </c>
      <c r="H461" s="408" t="s">
        <v>21</v>
      </c>
      <c r="I461" s="289">
        <v>9.045240567E9</v>
      </c>
      <c r="J461" s="400" t="s">
        <v>22</v>
      </c>
      <c r="K461" s="328" t="s">
        <v>20</v>
      </c>
      <c r="L461" s="329" t="s">
        <v>95</v>
      </c>
      <c r="M461" s="329" t="s">
        <v>1778</v>
      </c>
      <c r="N461" s="401" t="e">
        <v>#N/A</v>
      </c>
      <c r="O461" s="329" t="s">
        <v>25</v>
      </c>
      <c r="P461" s="329" t="s">
        <v>55</v>
      </c>
      <c r="Q461" s="414" t="s">
        <v>1330</v>
      </c>
    </row>
    <row r="462">
      <c r="A462" s="51">
        <v>1027.0</v>
      </c>
      <c r="B462" s="51">
        <v>1027.0</v>
      </c>
      <c r="C462" s="260">
        <v>60.0</v>
      </c>
      <c r="D462" s="260">
        <f>IFERROR(__xludf.DUMMYFUNCTION("if(B462&lt;=999,if(B462&lt;=99,IF(B462&lt;=9,join(,""000"",B462),join(,""00"",B462)),join(,""0"",B462)),B462)"),1027.0)</f>
        <v>1027</v>
      </c>
      <c r="E462" s="270" t="s">
        <v>1066</v>
      </c>
      <c r="F462" s="260" t="s">
        <v>35</v>
      </c>
      <c r="G462" s="260" t="str">
        <f t="shared" ref="G462:G466" si="100">VLOOKUP(D462,'Copy of Form Responses; CCTV Infra 1'!$G$2:$I$675,2,false)</f>
        <v>#REF!</v>
      </c>
      <c r="H462" s="410" t="s">
        <v>21</v>
      </c>
      <c r="I462" s="260" t="str">
        <f t="shared" ref="I462:I466" si="101">VLOOKUP(D462,'Copy of Form Responses; CCTV Infra 1'!$G$2:$I$675,3,false)</f>
        <v>#REF!</v>
      </c>
      <c r="J462" s="264"/>
      <c r="K462" s="411" t="str">
        <f>vlookup(D462,'Elligible Training Institutes R'!$D$9:$L$19,9,false)</f>
        <v>#N/A</v>
      </c>
      <c r="L462" s="329"/>
      <c r="M462" s="329" t="s">
        <v>1779</v>
      </c>
      <c r="N462" s="401" t="e">
        <v>#N/A</v>
      </c>
      <c r="O462" s="329"/>
      <c r="P462" s="329"/>
      <c r="Q462" s="412" t="s">
        <v>1423</v>
      </c>
    </row>
    <row r="463" hidden="1">
      <c r="A463" s="51">
        <v>531.0</v>
      </c>
      <c r="B463" s="51">
        <v>531.0</v>
      </c>
      <c r="C463" s="289"/>
      <c r="D463" s="289" t="str">
        <f>IFERROR(__xludf.DUMMYFUNCTION("if(B463&lt;=999,if(B463&lt;=99,IF(B463&lt;=9,join(,""000"",B463),join(,""00"",B463)),join(,""0"",B463)),B463)"),"0531")</f>
        <v>0531</v>
      </c>
      <c r="E463" s="326" t="s">
        <v>1067</v>
      </c>
      <c r="F463" s="325" t="s">
        <v>20</v>
      </c>
      <c r="G463" s="289" t="str">
        <f t="shared" si="100"/>
        <v>#REF!</v>
      </c>
      <c r="H463" s="408" t="s">
        <v>21</v>
      </c>
      <c r="I463" s="289" t="str">
        <f t="shared" si="101"/>
        <v>#REF!</v>
      </c>
      <c r="J463" s="413" t="s">
        <v>101</v>
      </c>
      <c r="K463" s="328" t="s">
        <v>20</v>
      </c>
      <c r="L463" s="329"/>
      <c r="M463" s="329" t="s">
        <v>1780</v>
      </c>
      <c r="N463" s="401">
        <v>8.0812374E7</v>
      </c>
      <c r="O463" s="329" t="s">
        <v>25</v>
      </c>
      <c r="P463" s="329" t="s">
        <v>86</v>
      </c>
      <c r="Q463" s="430" t="s">
        <v>1330</v>
      </c>
    </row>
    <row r="464" hidden="1">
      <c r="A464" s="51">
        <v>674.0</v>
      </c>
      <c r="B464" s="51">
        <v>674.0</v>
      </c>
      <c r="C464" s="289"/>
      <c r="D464" s="289" t="str">
        <f>IFERROR(__xludf.DUMMYFUNCTION("if(B464&lt;=999,if(B464&lt;=99,IF(B464&lt;=9,join(,""000"",B464),join(,""00"",B464)),join(,""0"",B464)),B464)"),"0674")</f>
        <v>0674</v>
      </c>
      <c r="E464" s="326" t="s">
        <v>1068</v>
      </c>
      <c r="F464" s="325" t="s">
        <v>20</v>
      </c>
      <c r="G464" s="289" t="str">
        <f t="shared" si="100"/>
        <v>#REF!</v>
      </c>
      <c r="H464" s="408" t="s">
        <v>21</v>
      </c>
      <c r="I464" s="289" t="str">
        <f t="shared" si="101"/>
        <v>#REF!</v>
      </c>
      <c r="J464" s="413" t="s">
        <v>34</v>
      </c>
      <c r="K464" s="328" t="s">
        <v>20</v>
      </c>
      <c r="L464" s="329" t="s">
        <v>95</v>
      </c>
      <c r="M464" s="478" t="s">
        <v>1781</v>
      </c>
      <c r="N464" s="401" t="s">
        <v>717</v>
      </c>
      <c r="O464" s="329" t="s">
        <v>1782</v>
      </c>
      <c r="P464" s="329" t="s">
        <v>1783</v>
      </c>
      <c r="Q464" s="430" t="s">
        <v>1330</v>
      </c>
    </row>
    <row r="465" hidden="1">
      <c r="A465" s="51">
        <v>1117.0</v>
      </c>
      <c r="B465" s="51">
        <v>1117.0</v>
      </c>
      <c r="C465" s="289"/>
      <c r="D465" s="289">
        <f>IFERROR(__xludf.DUMMYFUNCTION("if(B465&lt;=999,if(B465&lt;=99,IF(B465&lt;=9,join(,""000"",B465),join(,""00"",B465)),join(,""0"",B465)),B465)"),1117.0)</f>
        <v>1117</v>
      </c>
      <c r="E465" s="326" t="s">
        <v>1069</v>
      </c>
      <c r="F465" s="325" t="s">
        <v>20</v>
      </c>
      <c r="G465" s="289" t="str">
        <f t="shared" si="100"/>
        <v>#REF!</v>
      </c>
      <c r="H465" s="408" t="s">
        <v>21</v>
      </c>
      <c r="I465" s="289" t="str">
        <f t="shared" si="101"/>
        <v>#REF!</v>
      </c>
      <c r="J465" s="413" t="s">
        <v>77</v>
      </c>
      <c r="K465" s="328" t="s">
        <v>20</v>
      </c>
      <c r="L465" s="329" t="s">
        <v>95</v>
      </c>
      <c r="M465" s="329" t="s">
        <v>1784</v>
      </c>
      <c r="N465" s="401" t="s">
        <v>1013</v>
      </c>
      <c r="O465" s="329" t="s">
        <v>1785</v>
      </c>
      <c r="P465" s="329" t="s">
        <v>1786</v>
      </c>
      <c r="Q465" s="430" t="s">
        <v>1330</v>
      </c>
    </row>
    <row r="466" hidden="1">
      <c r="A466" s="324">
        <v>828.0</v>
      </c>
      <c r="B466" s="324">
        <v>828.0</v>
      </c>
      <c r="C466" s="418"/>
      <c r="D466" s="418" t="str">
        <f>IFERROR(__xludf.DUMMYFUNCTION("if(B466&lt;=999,if(B466&lt;=99,IF(B466&lt;=9,join(,""000"",B466),join(,""00"",B466)),join(,""0"",B466)),B466)"),"0828")</f>
        <v>0828</v>
      </c>
      <c r="E466" s="442" t="s">
        <v>1070</v>
      </c>
      <c r="F466" s="418" t="s">
        <v>20</v>
      </c>
      <c r="G466" s="418" t="str">
        <f t="shared" si="100"/>
        <v>#REF!</v>
      </c>
      <c r="H466" s="419" t="s">
        <v>21</v>
      </c>
      <c r="I466" s="418" t="str">
        <f t="shared" si="101"/>
        <v>#REF!</v>
      </c>
      <c r="J466" s="420" t="s">
        <v>77</v>
      </c>
      <c r="K466" s="421" t="s">
        <v>20</v>
      </c>
      <c r="L466" s="422" t="s">
        <v>95</v>
      </c>
      <c r="M466" s="422" t="s">
        <v>1784</v>
      </c>
      <c r="N466" s="422" t="s">
        <v>717</v>
      </c>
      <c r="O466" s="422" t="s">
        <v>1785</v>
      </c>
      <c r="P466" s="422" t="s">
        <v>1786</v>
      </c>
      <c r="Q466" s="466" t="s">
        <v>1330</v>
      </c>
    </row>
    <row r="467" hidden="1">
      <c r="A467" s="33">
        <v>52.0</v>
      </c>
      <c r="B467" s="34">
        <v>52.0</v>
      </c>
      <c r="C467" s="289"/>
      <c r="D467" s="289" t="str">
        <f>IFERROR(__xludf.DUMMYFUNCTION("if(B467&lt;=999,if(B467&lt;=99,IF(B467&lt;=9,join(,""000"",B467),join(,""00"",B467)),join(,""0"",B467)),B467)"),"0052")</f>
        <v>0052</v>
      </c>
      <c r="E467" s="297" t="s">
        <v>1071</v>
      </c>
      <c r="F467" s="289" t="s">
        <v>20</v>
      </c>
      <c r="G467" s="289" t="s">
        <v>1787</v>
      </c>
      <c r="H467" s="399" t="s">
        <v>21</v>
      </c>
      <c r="I467" s="289">
        <v>6.395777639E9</v>
      </c>
      <c r="J467" s="400" t="s">
        <v>22</v>
      </c>
      <c r="K467" s="290" t="s">
        <v>20</v>
      </c>
      <c r="L467" s="401" t="s">
        <v>23</v>
      </c>
      <c r="M467" s="401" t="s">
        <v>1788</v>
      </c>
      <c r="N467" s="401" t="e">
        <v>#N/A</v>
      </c>
      <c r="O467" s="401" t="s">
        <v>25</v>
      </c>
      <c r="P467" s="401" t="s">
        <v>217</v>
      </c>
      <c r="Q467" s="414" t="s">
        <v>1330</v>
      </c>
    </row>
    <row r="468" hidden="1">
      <c r="A468" s="51">
        <v>33.0</v>
      </c>
      <c r="B468" s="51">
        <v>33.0</v>
      </c>
      <c r="C468" s="289"/>
      <c r="D468" s="289" t="str">
        <f>IFERROR(__xludf.DUMMYFUNCTION("if(B468&lt;=999,if(B468&lt;=99,IF(B468&lt;=9,join(,""000"",B468),join(,""00"",B468)),join(,""0"",B468)),B468)"),"0033")</f>
        <v>0033</v>
      </c>
      <c r="E468" s="326" t="s">
        <v>1072</v>
      </c>
      <c r="F468" s="325" t="s">
        <v>20</v>
      </c>
      <c r="G468" s="289" t="str">
        <f>VLOOKUP(D468,'Copy of Form Responses; CCTV Infra 1'!$G$2:$I$675,2,false)</f>
        <v>#REF!</v>
      </c>
      <c r="H468" s="408" t="s">
        <v>21</v>
      </c>
      <c r="I468" s="289" t="str">
        <f>VLOOKUP(D468,'Copy of Form Responses; CCTV Infra 1'!$G$2:$I$675,3,false)</f>
        <v>#REF!</v>
      </c>
      <c r="J468" s="413" t="s">
        <v>77</v>
      </c>
      <c r="K468" s="328" t="s">
        <v>20</v>
      </c>
      <c r="L468" s="329" t="s">
        <v>23</v>
      </c>
      <c r="M468" s="329" t="s">
        <v>1788</v>
      </c>
      <c r="N468" s="401" t="e">
        <v>#N/A</v>
      </c>
      <c r="O468" s="401" t="s">
        <v>25</v>
      </c>
      <c r="P468" s="401" t="s">
        <v>217</v>
      </c>
      <c r="Q468" s="414" t="s">
        <v>1330</v>
      </c>
    </row>
    <row r="469" hidden="1">
      <c r="A469" s="51">
        <v>1014.0</v>
      </c>
      <c r="B469" s="51">
        <v>1014.0</v>
      </c>
      <c r="C469" s="289"/>
      <c r="D469" s="289">
        <f>IFERROR(__xludf.DUMMYFUNCTION("if(B469&lt;=999,if(B469&lt;=99,IF(B469&lt;=9,join(,""000"",B469),join(,""00"",B469)),join(,""0"",B469)),B469)"),1014.0)</f>
        <v>1014</v>
      </c>
      <c r="E469" s="326" t="s">
        <v>1073</v>
      </c>
      <c r="F469" s="325" t="s">
        <v>20</v>
      </c>
      <c r="G469" s="289" t="s">
        <v>1789</v>
      </c>
      <c r="H469" s="408" t="s">
        <v>21</v>
      </c>
      <c r="I469" s="289">
        <v>9.997772711E9</v>
      </c>
      <c r="J469" s="413" t="s">
        <v>77</v>
      </c>
      <c r="K469" s="290" t="s">
        <v>20</v>
      </c>
      <c r="L469" s="329" t="s">
        <v>95</v>
      </c>
      <c r="M469" s="329" t="s">
        <v>1790</v>
      </c>
      <c r="N469" s="401" t="e">
        <v>#N/A</v>
      </c>
      <c r="O469" s="329" t="s">
        <v>25</v>
      </c>
      <c r="P469" s="329" t="s">
        <v>1791</v>
      </c>
      <c r="Q469" s="414" t="s">
        <v>1330</v>
      </c>
    </row>
    <row r="470" hidden="1">
      <c r="A470" s="33">
        <v>1183.0</v>
      </c>
      <c r="B470" s="34">
        <v>1183.0</v>
      </c>
      <c r="C470" s="289"/>
      <c r="D470" s="289">
        <f>IFERROR(__xludf.DUMMYFUNCTION("if(B470&lt;=999,if(B470&lt;=99,IF(B470&lt;=9,join(,""000"",B470),join(,""00"",B470)),join(,""0"",B470)),B470)"),1183.0)</f>
        <v>1183</v>
      </c>
      <c r="E470" s="297" t="s">
        <v>1074</v>
      </c>
      <c r="F470" s="289" t="s">
        <v>20</v>
      </c>
      <c r="G470" s="289" t="str">
        <f t="shared" ref="G470:G472" si="102">VLOOKUP(D470,'Copy of Form Responses; CCTV Infra 1'!$G$2:$I$675,2,false)</f>
        <v>#REF!</v>
      </c>
      <c r="H470" s="399" t="s">
        <v>21</v>
      </c>
      <c r="I470" s="289" t="str">
        <f t="shared" ref="I470:I472" si="103">VLOOKUP(D470,'Copy of Form Responses; CCTV Infra 1'!$G$2:$I$675,3,false)</f>
        <v>#REF!</v>
      </c>
      <c r="J470" s="400" t="s">
        <v>77</v>
      </c>
      <c r="K470" s="290" t="s">
        <v>20</v>
      </c>
      <c r="L470" s="401" t="s">
        <v>28</v>
      </c>
      <c r="M470" s="291" t="s">
        <v>1075</v>
      </c>
      <c r="N470" s="401">
        <v>5.0</v>
      </c>
      <c r="O470" s="439" t="s">
        <v>25</v>
      </c>
      <c r="P470" s="439" t="s">
        <v>1076</v>
      </c>
      <c r="Q470" s="414" t="s">
        <v>1330</v>
      </c>
    </row>
    <row r="471">
      <c r="A471" s="51">
        <v>534.0</v>
      </c>
      <c r="B471" s="51">
        <v>534.0</v>
      </c>
      <c r="C471" s="260">
        <v>61.0</v>
      </c>
      <c r="D471" s="260" t="str">
        <f>IFERROR(__xludf.DUMMYFUNCTION("if(B471&lt;=999,if(B471&lt;=99,IF(B471&lt;=9,join(,""000"",B471),join(,""00"",B471)),join(,""0"",B471)),B471)"),"0534")</f>
        <v>0534</v>
      </c>
      <c r="E471" s="270" t="s">
        <v>1077</v>
      </c>
      <c r="F471" s="260" t="s">
        <v>35</v>
      </c>
      <c r="G471" s="260" t="str">
        <f t="shared" si="102"/>
        <v>#REF!</v>
      </c>
      <c r="H471" s="410" t="s">
        <v>21</v>
      </c>
      <c r="I471" s="260" t="str">
        <f t="shared" si="103"/>
        <v>#REF!</v>
      </c>
      <c r="J471" s="264"/>
      <c r="K471" s="411" t="str">
        <f>vlookup(D471,'Elligible Training Institutes R'!$D$9:$L$19,9,false)</f>
        <v>#N/A</v>
      </c>
      <c r="L471" s="329"/>
      <c r="M471" s="329"/>
      <c r="N471" s="401" t="e">
        <v>#N/A</v>
      </c>
      <c r="O471" s="329"/>
      <c r="P471" s="329"/>
      <c r="Q471" s="412" t="s">
        <v>1423</v>
      </c>
    </row>
    <row r="472" hidden="1">
      <c r="A472" s="51">
        <v>1370.0</v>
      </c>
      <c r="B472" s="51">
        <v>1370.0</v>
      </c>
      <c r="C472" s="289"/>
      <c r="D472" s="289">
        <f>IFERROR(__xludf.DUMMYFUNCTION("if(B472&lt;=999,if(B472&lt;=99,IF(B472&lt;=9,join(,""000"",B472),join(,""00"",B472)),join(,""0"",B472)),B472)"),1370.0)</f>
        <v>1370</v>
      </c>
      <c r="E472" s="326" t="s">
        <v>1079</v>
      </c>
      <c r="F472" s="325" t="s">
        <v>20</v>
      </c>
      <c r="G472" s="289" t="str">
        <f t="shared" si="102"/>
        <v>#REF!</v>
      </c>
      <c r="H472" s="408" t="s">
        <v>21</v>
      </c>
      <c r="I472" s="289" t="str">
        <f t="shared" si="103"/>
        <v>#REF!</v>
      </c>
      <c r="J472" s="413" t="s">
        <v>22</v>
      </c>
      <c r="K472" s="328" t="s">
        <v>20</v>
      </c>
      <c r="L472" s="329" t="s">
        <v>95</v>
      </c>
      <c r="M472" s="329" t="s">
        <v>1792</v>
      </c>
      <c r="N472" s="401">
        <v>6.0</v>
      </c>
      <c r="O472" s="329" t="s">
        <v>25</v>
      </c>
      <c r="P472" s="329" t="s">
        <v>55</v>
      </c>
      <c r="Q472" s="414" t="s">
        <v>1330</v>
      </c>
    </row>
    <row r="473">
      <c r="A473" s="51">
        <v>1428.0</v>
      </c>
      <c r="B473" s="51">
        <v>1428.0</v>
      </c>
      <c r="C473" s="260">
        <v>62.0</v>
      </c>
      <c r="D473" s="260">
        <f>IFERROR(__xludf.DUMMYFUNCTION("if(B473&lt;=999,if(B473&lt;=99,IF(B473&lt;=9,join(,""000"",B473),join(,""00"",B473)),join(,""0"",B473)),B473)"),1428.0)</f>
        <v>1428</v>
      </c>
      <c r="E473" s="270" t="s">
        <v>1058</v>
      </c>
      <c r="F473" s="260" t="s">
        <v>20</v>
      </c>
      <c r="G473" s="260" t="s">
        <v>1461</v>
      </c>
      <c r="H473" s="410" t="s">
        <v>21</v>
      </c>
      <c r="I473" s="260">
        <v>8.840319799E9</v>
      </c>
      <c r="J473" s="264" t="s">
        <v>34</v>
      </c>
      <c r="K473" s="411" t="str">
        <f>vlookup(D473,'Elligible Training Institutes R'!$D$9:$L$19,9,false)</f>
        <v>#N/A</v>
      </c>
      <c r="L473" s="329" t="s">
        <v>28</v>
      </c>
      <c r="M473" s="329" t="s">
        <v>1462</v>
      </c>
      <c r="N473" s="401"/>
      <c r="O473" s="329"/>
      <c r="P473" s="329"/>
      <c r="Q473" s="412" t="s">
        <v>87</v>
      </c>
    </row>
    <row r="474" hidden="1">
      <c r="A474" s="51">
        <v>669.0</v>
      </c>
      <c r="B474" s="51">
        <v>669.0</v>
      </c>
      <c r="C474" s="289"/>
      <c r="D474" s="289" t="str">
        <f>IFERROR(__xludf.DUMMYFUNCTION("if(B474&lt;=999,if(B474&lt;=99,IF(B474&lt;=9,join(,""000"",B474),join(,""00"",B474)),join(,""0"",B474)),B474)"),"0669")</f>
        <v>0669</v>
      </c>
      <c r="E474" s="326" t="s">
        <v>1081</v>
      </c>
      <c r="F474" s="325" t="s">
        <v>20</v>
      </c>
      <c r="G474" s="260" t="str">
        <f t="shared" ref="G474:G478" si="104">VLOOKUP(D474,'Copy of Form Responses; CCTV Infra 1'!$G$2:$I$675,2,false)</f>
        <v>#REF!</v>
      </c>
      <c r="H474" s="408" t="s">
        <v>21</v>
      </c>
      <c r="I474" s="289" t="str">
        <f t="shared" ref="I474:I478" si="105">VLOOKUP(D474,'Copy of Form Responses; CCTV Infra 1'!$G$2:$I$675,3,false)</f>
        <v>#REF!</v>
      </c>
      <c r="J474" s="400" t="s">
        <v>101</v>
      </c>
      <c r="K474" s="328" t="s">
        <v>20</v>
      </c>
      <c r="L474" s="329" t="s">
        <v>1082</v>
      </c>
      <c r="M474" s="291" t="s">
        <v>1793</v>
      </c>
      <c r="N474" s="401" t="s">
        <v>1083</v>
      </c>
      <c r="O474" s="447" t="s">
        <v>25</v>
      </c>
      <c r="P474" s="447" t="s">
        <v>55</v>
      </c>
      <c r="Q474" s="430" t="s">
        <v>1330</v>
      </c>
    </row>
    <row r="475" hidden="1">
      <c r="A475" s="51">
        <v>163.0</v>
      </c>
      <c r="B475" s="51">
        <v>163.0</v>
      </c>
      <c r="C475" s="298">
        <v>234.0</v>
      </c>
      <c r="D475" s="289" t="str">
        <f>IFERROR(__xludf.DUMMYFUNCTION("if(B475&lt;=999,if(B475&lt;=99,IF(B475&lt;=9,join(,""000"",B475),join(,""00"",B475)),join(,""0"",B475)),B475)"),"0163")</f>
        <v>0163</v>
      </c>
      <c r="E475" s="301" t="s">
        <v>1087</v>
      </c>
      <c r="F475" s="325" t="s">
        <v>20</v>
      </c>
      <c r="G475" s="289" t="str">
        <f t="shared" si="104"/>
        <v>#REF!</v>
      </c>
      <c r="H475" s="408" t="s">
        <v>21</v>
      </c>
      <c r="I475" s="289" t="str">
        <f t="shared" si="105"/>
        <v>#REF!</v>
      </c>
      <c r="J475" s="413" t="s">
        <v>73</v>
      </c>
      <c r="K475" s="328" t="s">
        <v>20</v>
      </c>
      <c r="L475" s="329" t="s">
        <v>1082</v>
      </c>
      <c r="M475" s="329" t="s">
        <v>1088</v>
      </c>
      <c r="N475" s="401">
        <v>8.0</v>
      </c>
      <c r="O475" s="329" t="s">
        <v>25</v>
      </c>
      <c r="P475" s="329" t="s">
        <v>785</v>
      </c>
      <c r="Q475" s="414" t="s">
        <v>1330</v>
      </c>
    </row>
    <row r="476" hidden="1">
      <c r="A476" s="33">
        <v>640.0</v>
      </c>
      <c r="B476" s="34">
        <v>640.0</v>
      </c>
      <c r="C476" s="289"/>
      <c r="D476" s="289" t="str">
        <f>IFERROR(__xludf.DUMMYFUNCTION("if(B476&lt;=999,if(B476&lt;=99,IF(B476&lt;=9,join(,""000"",B476),join(,""00"",B476)),join(,""0"",B476)),B476)"),"0640")</f>
        <v>0640</v>
      </c>
      <c r="E476" s="297" t="s">
        <v>1089</v>
      </c>
      <c r="F476" s="289" t="s">
        <v>20</v>
      </c>
      <c r="G476" s="289" t="str">
        <f t="shared" si="104"/>
        <v>#REF!</v>
      </c>
      <c r="H476" s="399" t="s">
        <v>21</v>
      </c>
      <c r="I476" s="289" t="str">
        <f t="shared" si="105"/>
        <v>#REF!</v>
      </c>
      <c r="J476" s="400"/>
      <c r="K476" s="290" t="s">
        <v>20</v>
      </c>
      <c r="L476" s="401" t="s">
        <v>1082</v>
      </c>
      <c r="M476" s="480" t="s">
        <v>1794</v>
      </c>
      <c r="N476" s="401">
        <v>8000.0</v>
      </c>
      <c r="O476" s="401" t="s">
        <v>25</v>
      </c>
      <c r="P476" s="512" t="s">
        <v>1795</v>
      </c>
      <c r="Q476" s="414" t="s">
        <v>1330</v>
      </c>
    </row>
    <row r="477" hidden="1">
      <c r="A477" s="51">
        <v>1432.0</v>
      </c>
      <c r="B477" s="51">
        <v>1432.0</v>
      </c>
      <c r="C477" s="289"/>
      <c r="D477" s="289">
        <f>IFERROR(__xludf.DUMMYFUNCTION("if(B477&lt;=999,if(B477&lt;=99,IF(B477&lt;=9,join(,""000"",B477),join(,""00"",B477)),join(,""0"",B477)),B477)"),1432.0)</f>
        <v>1432</v>
      </c>
      <c r="E477" s="326" t="s">
        <v>1090</v>
      </c>
      <c r="F477" s="325" t="s">
        <v>20</v>
      </c>
      <c r="G477" s="289" t="str">
        <f t="shared" si="104"/>
        <v>#REF!</v>
      </c>
      <c r="H477" s="408" t="s">
        <v>21</v>
      </c>
      <c r="I477" s="289" t="str">
        <f t="shared" si="105"/>
        <v>#REF!</v>
      </c>
      <c r="J477" s="413" t="s">
        <v>34</v>
      </c>
      <c r="K477" s="328" t="s">
        <v>20</v>
      </c>
      <c r="L477" s="329" t="s">
        <v>137</v>
      </c>
      <c r="M477" s="329" t="s">
        <v>1796</v>
      </c>
      <c r="N477" s="401" t="s">
        <v>1091</v>
      </c>
      <c r="O477" s="329" t="s">
        <v>25</v>
      </c>
      <c r="P477" s="329" t="s">
        <v>893</v>
      </c>
      <c r="Q477" s="414" t="s">
        <v>1330</v>
      </c>
    </row>
    <row r="478" hidden="1">
      <c r="A478" s="51">
        <v>1101.0</v>
      </c>
      <c r="B478" s="51">
        <v>1101.0</v>
      </c>
      <c r="C478" s="289"/>
      <c r="D478" s="289">
        <f>IFERROR(__xludf.DUMMYFUNCTION("if(B478&lt;=999,if(B478&lt;=99,IF(B478&lt;=9,join(,""000"",B478),join(,""00"",B478)),join(,""0"",B478)),B478)"),1101.0)</f>
        <v>1101</v>
      </c>
      <c r="E478" s="326" t="s">
        <v>1092</v>
      </c>
      <c r="F478" s="325" t="s">
        <v>20</v>
      </c>
      <c r="G478" s="289" t="str">
        <f t="shared" si="104"/>
        <v>#REF!</v>
      </c>
      <c r="H478" s="408" t="s">
        <v>21</v>
      </c>
      <c r="I478" s="289" t="str">
        <f t="shared" si="105"/>
        <v>#REF!</v>
      </c>
      <c r="J478" s="400" t="s">
        <v>22</v>
      </c>
      <c r="K478" s="328" t="s">
        <v>20</v>
      </c>
      <c r="L478" s="329" t="s">
        <v>1082</v>
      </c>
      <c r="M478" s="329" t="s">
        <v>1797</v>
      </c>
      <c r="N478" s="401">
        <v>16.0</v>
      </c>
      <c r="O478" s="329" t="s">
        <v>25</v>
      </c>
      <c r="P478" s="329" t="s">
        <v>55</v>
      </c>
      <c r="Q478" s="430" t="s">
        <v>1330</v>
      </c>
    </row>
    <row r="479" hidden="1">
      <c r="A479" s="51">
        <v>1095.0</v>
      </c>
      <c r="B479" s="51">
        <v>1095.0</v>
      </c>
      <c r="C479" s="289"/>
      <c r="D479" s="289">
        <f>IFERROR(__xludf.DUMMYFUNCTION("if(B479&lt;=999,if(B479&lt;=99,IF(B479&lt;=9,join(,""000"",B479),join(,""00"",B479)),join(,""0"",B479)),B479)"),1095.0)</f>
        <v>1095</v>
      </c>
      <c r="E479" s="326" t="s">
        <v>1093</v>
      </c>
      <c r="F479" s="325" t="s">
        <v>20</v>
      </c>
      <c r="G479" s="289" t="s">
        <v>1798</v>
      </c>
      <c r="H479" s="408" t="s">
        <v>21</v>
      </c>
      <c r="I479" s="289">
        <v>8.1739122E9</v>
      </c>
      <c r="J479" s="400" t="s">
        <v>22</v>
      </c>
      <c r="K479" s="328" t="s">
        <v>20</v>
      </c>
      <c r="L479" s="329" t="s">
        <v>95</v>
      </c>
      <c r="M479" s="329" t="s">
        <v>1799</v>
      </c>
      <c r="N479" s="401"/>
      <c r="O479" s="329" t="s">
        <v>25</v>
      </c>
      <c r="P479" s="329" t="s">
        <v>1800</v>
      </c>
      <c r="Q479" s="414" t="s">
        <v>1330</v>
      </c>
    </row>
    <row r="480" hidden="1">
      <c r="A480" s="324">
        <v>1295.0</v>
      </c>
      <c r="B480" s="415">
        <v>1295.0</v>
      </c>
      <c r="C480" s="418"/>
      <c r="D480" s="418">
        <f>IFERROR(__xludf.DUMMYFUNCTION("if(B480&lt;=999,if(B480&lt;=99,IF(B480&lt;=9,join(,""000"",B480),join(,""00"",B480)),join(,""0"",B480)),B480)"),1295.0)</f>
        <v>1295</v>
      </c>
      <c r="E480" s="442" t="s">
        <v>1094</v>
      </c>
      <c r="F480" s="418" t="s">
        <v>20</v>
      </c>
      <c r="G480" s="418" t="s">
        <v>1798</v>
      </c>
      <c r="H480" s="419" t="s">
        <v>21</v>
      </c>
      <c r="I480" s="418">
        <v>8.1739122E9</v>
      </c>
      <c r="J480" s="420" t="s">
        <v>22</v>
      </c>
      <c r="K480" s="421" t="s">
        <v>20</v>
      </c>
      <c r="L480" s="422" t="s">
        <v>95</v>
      </c>
      <c r="M480" s="422" t="s">
        <v>1799</v>
      </c>
      <c r="N480" s="422"/>
      <c r="O480" s="422" t="s">
        <v>25</v>
      </c>
      <c r="P480" s="422" t="s">
        <v>1800</v>
      </c>
      <c r="Q480" s="423" t="s">
        <v>1330</v>
      </c>
    </row>
    <row r="481" hidden="1">
      <c r="A481" s="51">
        <v>671.0</v>
      </c>
      <c r="B481" s="51">
        <v>671.0</v>
      </c>
      <c r="C481" s="289"/>
      <c r="D481" s="289" t="str">
        <f>IFERROR(__xludf.DUMMYFUNCTION("if(B481&lt;=999,if(B481&lt;=99,IF(B481&lt;=9,join(,""000"",B481),join(,""00"",B481)),join(,""0"",B481)),B481)"),"0671")</f>
        <v>0671</v>
      </c>
      <c r="E481" s="326" t="s">
        <v>1095</v>
      </c>
      <c r="F481" s="325" t="s">
        <v>20</v>
      </c>
      <c r="G481" s="289" t="str">
        <f t="shared" ref="G481:G489" si="106">VLOOKUP(D481,'Copy of Form Responses; CCTV Infra 1'!$G$2:$I$675,2,false)</f>
        <v>#REF!</v>
      </c>
      <c r="H481" s="408" t="s">
        <v>21</v>
      </c>
      <c r="I481" s="289" t="str">
        <f t="shared" ref="I481:I489" si="107">VLOOKUP(D481,'Copy of Form Responses; CCTV Infra 1'!$G$2:$I$675,3,false)</f>
        <v>#REF!</v>
      </c>
      <c r="J481" s="400" t="s">
        <v>22</v>
      </c>
      <c r="K481" s="328" t="s">
        <v>20</v>
      </c>
      <c r="L481" s="329" t="s">
        <v>28</v>
      </c>
      <c r="M481" s="329" t="s">
        <v>1801</v>
      </c>
      <c r="N481" s="401"/>
      <c r="O481" s="329" t="s">
        <v>25</v>
      </c>
      <c r="P481" s="329" t="s">
        <v>55</v>
      </c>
      <c r="Q481" s="414" t="s">
        <v>1330</v>
      </c>
    </row>
    <row r="482" hidden="1">
      <c r="A482" s="51">
        <v>944.0</v>
      </c>
      <c r="B482" s="51">
        <v>944.0</v>
      </c>
      <c r="C482" s="289"/>
      <c r="D482" s="289" t="str">
        <f>IFERROR(__xludf.DUMMYFUNCTION("if(B482&lt;=999,if(B482&lt;=99,IF(B482&lt;=9,join(,""000"",B482),join(,""00"",B482)),join(,""0"",B482)),B482)"),"0944")</f>
        <v>0944</v>
      </c>
      <c r="E482" s="326" t="s">
        <v>1096</v>
      </c>
      <c r="F482" s="325" t="s">
        <v>20</v>
      </c>
      <c r="G482" s="289" t="str">
        <f t="shared" si="106"/>
        <v>#REF!</v>
      </c>
      <c r="H482" s="408" t="s">
        <v>21</v>
      </c>
      <c r="I482" s="289" t="str">
        <f t="shared" si="107"/>
        <v>#REF!</v>
      </c>
      <c r="J482" s="400" t="s">
        <v>22</v>
      </c>
      <c r="K482" s="328" t="s">
        <v>20</v>
      </c>
      <c r="L482" s="329" t="s">
        <v>95</v>
      </c>
      <c r="M482" s="329" t="s">
        <v>1802</v>
      </c>
      <c r="N482" s="401"/>
      <c r="O482" s="329" t="s">
        <v>25</v>
      </c>
      <c r="P482" s="329" t="s">
        <v>1803</v>
      </c>
      <c r="Q482" s="430" t="s">
        <v>1330</v>
      </c>
    </row>
    <row r="483" hidden="1">
      <c r="A483" s="51">
        <v>1427.0</v>
      </c>
      <c r="B483" s="51">
        <v>1427.0</v>
      </c>
      <c r="C483" s="289">
        <v>235.0</v>
      </c>
      <c r="D483" s="289">
        <f>IFERROR(__xludf.DUMMYFUNCTION("if(B483&lt;=999,if(B483&lt;=99,IF(B483&lt;=9,join(,""000"",B483),join(,""00"",B483)),join(,""0"",B483)),B483)"),1427.0)</f>
        <v>1427</v>
      </c>
      <c r="E483" s="301" t="s">
        <v>1098</v>
      </c>
      <c r="F483" s="289" t="s">
        <v>20</v>
      </c>
      <c r="G483" s="289" t="str">
        <f t="shared" si="106"/>
        <v>#REF!</v>
      </c>
      <c r="H483" s="408" t="s">
        <v>21</v>
      </c>
      <c r="I483" s="289" t="str">
        <f t="shared" si="107"/>
        <v>#REF!</v>
      </c>
      <c r="J483" s="400" t="s">
        <v>77</v>
      </c>
      <c r="K483" s="328" t="s">
        <v>20</v>
      </c>
      <c r="L483" s="438" t="s">
        <v>1099</v>
      </c>
      <c r="M483" s="438" t="s">
        <v>1100</v>
      </c>
      <c r="N483" s="401" t="s">
        <v>1101</v>
      </c>
      <c r="O483" s="438" t="s">
        <v>25</v>
      </c>
      <c r="P483" s="438" t="s">
        <v>86</v>
      </c>
      <c r="Q483" s="414" t="s">
        <v>1330</v>
      </c>
    </row>
    <row r="484" hidden="1">
      <c r="A484" s="51">
        <v>1230.0</v>
      </c>
      <c r="B484" s="51">
        <v>1230.0</v>
      </c>
      <c r="C484" s="289"/>
      <c r="D484" s="289">
        <f>IFERROR(__xludf.DUMMYFUNCTION("if(B484&lt;=999,if(B484&lt;=99,IF(B484&lt;=9,join(,""000"",B484),join(,""00"",B484)),join(,""0"",B484)),B484)"),1230.0)</f>
        <v>1230</v>
      </c>
      <c r="E484" s="326" t="s">
        <v>1102</v>
      </c>
      <c r="F484" s="325" t="s">
        <v>20</v>
      </c>
      <c r="G484" s="289" t="str">
        <f t="shared" si="106"/>
        <v>#REF!</v>
      </c>
      <c r="H484" s="408" t="s">
        <v>21</v>
      </c>
      <c r="I484" s="289" t="str">
        <f t="shared" si="107"/>
        <v>#REF!</v>
      </c>
      <c r="J484" s="413" t="s">
        <v>77</v>
      </c>
      <c r="K484" s="328" t="s">
        <v>20</v>
      </c>
      <c r="L484" s="329" t="s">
        <v>95</v>
      </c>
      <c r="M484" s="329" t="s">
        <v>1804</v>
      </c>
      <c r="N484" s="401">
        <v>443.0</v>
      </c>
      <c r="O484" s="329" t="s">
        <v>25</v>
      </c>
      <c r="P484" s="329" t="s">
        <v>1149</v>
      </c>
      <c r="Q484" s="412" t="s">
        <v>87</v>
      </c>
    </row>
    <row r="485" hidden="1">
      <c r="A485" s="51">
        <v>238.0</v>
      </c>
      <c r="B485" s="51">
        <v>238.0</v>
      </c>
      <c r="C485" s="289"/>
      <c r="D485" s="289" t="str">
        <f>IFERROR(__xludf.DUMMYFUNCTION("if(B485&lt;=999,if(B485&lt;=99,IF(B485&lt;=9,join(,""000"",B485),join(,""00"",B485)),join(,""0"",B485)),B485)"),"0238")</f>
        <v>0238</v>
      </c>
      <c r="E485" s="87" t="s">
        <v>1338</v>
      </c>
      <c r="F485" s="325" t="s">
        <v>20</v>
      </c>
      <c r="G485" s="289" t="str">
        <f t="shared" si="106"/>
        <v>#REF!</v>
      </c>
      <c r="H485" s="408" t="s">
        <v>21</v>
      </c>
      <c r="I485" s="289" t="str">
        <f t="shared" si="107"/>
        <v>#REF!</v>
      </c>
      <c r="J485" s="413" t="s">
        <v>99</v>
      </c>
      <c r="K485" s="328" t="s">
        <v>20</v>
      </c>
      <c r="L485" s="329" t="s">
        <v>95</v>
      </c>
      <c r="M485" s="291" t="s">
        <v>1805</v>
      </c>
      <c r="N485" s="401">
        <v>8.0</v>
      </c>
      <c r="O485" s="439" t="s">
        <v>25</v>
      </c>
      <c r="P485" s="447">
        <v>123456.0</v>
      </c>
      <c r="Q485" s="414" t="s">
        <v>1330</v>
      </c>
    </row>
    <row r="486" hidden="1">
      <c r="A486" s="51">
        <v>1133.0</v>
      </c>
      <c r="B486" s="51">
        <v>1133.0</v>
      </c>
      <c r="C486" s="289">
        <v>236.0</v>
      </c>
      <c r="D486" s="289">
        <f>IFERROR(__xludf.DUMMYFUNCTION("if(B486&lt;=999,if(B486&lt;=99,IF(B486&lt;=9,join(,""000"",B486),join(,""00"",B486)),join(,""0"",B486)),B486)"),1133.0)</f>
        <v>1133</v>
      </c>
      <c r="E486" s="301" t="s">
        <v>1106</v>
      </c>
      <c r="F486" s="325" t="s">
        <v>20</v>
      </c>
      <c r="G486" s="289" t="str">
        <f t="shared" si="106"/>
        <v>#REF!</v>
      </c>
      <c r="H486" s="408" t="s">
        <v>21</v>
      </c>
      <c r="I486" s="289" t="str">
        <f t="shared" si="107"/>
        <v>#REF!</v>
      </c>
      <c r="J486" s="400" t="s">
        <v>73</v>
      </c>
      <c r="K486" s="328" t="s">
        <v>20</v>
      </c>
      <c r="L486" s="329" t="s">
        <v>95</v>
      </c>
      <c r="M486" s="329" t="s">
        <v>1107</v>
      </c>
      <c r="N486" s="401">
        <v>25001.0</v>
      </c>
      <c r="O486" s="329" t="s">
        <v>25</v>
      </c>
      <c r="P486" s="329" t="s">
        <v>1108</v>
      </c>
      <c r="Q486" s="414" t="s">
        <v>1330</v>
      </c>
    </row>
    <row r="487" hidden="1">
      <c r="A487" s="55">
        <v>228.0</v>
      </c>
      <c r="B487" s="55">
        <v>228.0</v>
      </c>
      <c r="C487" s="298">
        <v>237.0</v>
      </c>
      <c r="D487" s="298" t="str">
        <f>IFERROR(__xludf.DUMMYFUNCTION("if(B487&lt;=999,if(B487&lt;=99,IF(B487&lt;=9,join(,""000"",B487),join(,""00"",B487)),join(,""0"",B487)),B487)"),"0228")</f>
        <v>0228</v>
      </c>
      <c r="E487" s="425" t="s">
        <v>1109</v>
      </c>
      <c r="F487" s="298" t="s">
        <v>20</v>
      </c>
      <c r="G487" s="298" t="str">
        <f t="shared" si="106"/>
        <v>#REF!</v>
      </c>
      <c r="H487" s="426" t="s">
        <v>21</v>
      </c>
      <c r="I487" s="298" t="str">
        <f t="shared" si="107"/>
        <v>#REF!</v>
      </c>
      <c r="J487" s="405" t="s">
        <v>63</v>
      </c>
      <c r="K487" s="427" t="s">
        <v>20</v>
      </c>
      <c r="L487" s="414" t="s">
        <v>95</v>
      </c>
      <c r="M487" s="414" t="s">
        <v>1110</v>
      </c>
      <c r="N487" s="407">
        <v>16.0</v>
      </c>
      <c r="O487" s="414" t="s">
        <v>25</v>
      </c>
      <c r="P487" s="414" t="s">
        <v>55</v>
      </c>
      <c r="Q487" s="414" t="s">
        <v>1330</v>
      </c>
    </row>
    <row r="488" hidden="1">
      <c r="A488" s="324">
        <v>682.0</v>
      </c>
      <c r="B488" s="324">
        <v>682.0</v>
      </c>
      <c r="C488" s="418">
        <v>238.0</v>
      </c>
      <c r="D488" s="418" t="str">
        <f>IFERROR(__xludf.DUMMYFUNCTION("if(B488&lt;=999,if(B488&lt;=99,IF(B488&lt;=9,join(,""000"",B488),join(,""00"",B488)),join(,""0"",B488)),B488)"),"0682")</f>
        <v>0682</v>
      </c>
      <c r="E488" s="417" t="s">
        <v>1111</v>
      </c>
      <c r="F488" s="418" t="s">
        <v>20</v>
      </c>
      <c r="G488" s="418" t="str">
        <f t="shared" si="106"/>
        <v>#REF!</v>
      </c>
      <c r="H488" s="419" t="s">
        <v>21</v>
      </c>
      <c r="I488" s="418" t="str">
        <f t="shared" si="107"/>
        <v>#REF!</v>
      </c>
      <c r="J488" s="420" t="s">
        <v>63</v>
      </c>
      <c r="K488" s="421" t="s">
        <v>20</v>
      </c>
      <c r="L488" s="422" t="s">
        <v>95</v>
      </c>
      <c r="M488" s="422" t="s">
        <v>1110</v>
      </c>
      <c r="N488" s="422">
        <v>16.0</v>
      </c>
      <c r="O488" s="422" t="s">
        <v>25</v>
      </c>
      <c r="P488" s="422" t="s">
        <v>55</v>
      </c>
      <c r="Q488" s="423" t="s">
        <v>1330</v>
      </c>
    </row>
    <row r="489" hidden="1">
      <c r="A489" s="469">
        <v>216.0</v>
      </c>
      <c r="B489" s="469">
        <v>216.0</v>
      </c>
      <c r="C489" s="418">
        <v>239.0</v>
      </c>
      <c r="D489" s="416" t="str">
        <f>IFERROR(__xludf.DUMMYFUNCTION("if(B489&lt;=999,if(B489&lt;=99,IF(B489&lt;=9,join(,""000"",B489),join(,""00"",B489)),join(,""0"",B489)),B489)"),"0216")</f>
        <v>0216</v>
      </c>
      <c r="E489" s="470" t="s">
        <v>1112</v>
      </c>
      <c r="F489" s="416" t="s">
        <v>20</v>
      </c>
      <c r="G489" s="416" t="str">
        <f t="shared" si="106"/>
        <v>#REF!</v>
      </c>
      <c r="H489" s="416" t="s">
        <v>21</v>
      </c>
      <c r="I489" s="416" t="str">
        <f t="shared" si="107"/>
        <v>#REF!</v>
      </c>
      <c r="J489" s="471" t="s">
        <v>63</v>
      </c>
      <c r="K489" s="472" t="s">
        <v>20</v>
      </c>
      <c r="L489" s="423" t="s">
        <v>95</v>
      </c>
      <c r="M489" s="423" t="s">
        <v>1110</v>
      </c>
      <c r="N489" s="423">
        <v>24.0</v>
      </c>
      <c r="O489" s="423" t="s">
        <v>25</v>
      </c>
      <c r="P489" s="423" t="s">
        <v>55</v>
      </c>
      <c r="Q489" s="423" t="s">
        <v>1330</v>
      </c>
    </row>
    <row r="490" hidden="1">
      <c r="A490" s="33">
        <v>1058.0</v>
      </c>
      <c r="B490" s="34">
        <v>1058.0</v>
      </c>
      <c r="C490" s="298">
        <v>240.0</v>
      </c>
      <c r="D490" s="289">
        <f>IFERROR(__xludf.DUMMYFUNCTION("if(B490&lt;=999,if(B490&lt;=99,IF(B490&lt;=9,join(,""000"",B490),join(,""00"",B490)),join(,""0"",B490)),B490)"),1058.0)</f>
        <v>1058</v>
      </c>
      <c r="E490" s="296" t="s">
        <v>1113</v>
      </c>
      <c r="F490" s="289" t="s">
        <v>1467</v>
      </c>
      <c r="G490" s="289" t="s">
        <v>1806</v>
      </c>
      <c r="H490" s="399" t="s">
        <v>21</v>
      </c>
      <c r="I490" s="289">
        <v>8.71706973E9</v>
      </c>
      <c r="J490" s="400" t="s">
        <v>1807</v>
      </c>
      <c r="K490" s="290" t="s">
        <v>20</v>
      </c>
      <c r="L490" s="401"/>
      <c r="M490" s="401" t="s">
        <v>1808</v>
      </c>
      <c r="N490" s="401" t="e">
        <v>#N/A</v>
      </c>
      <c r="O490" s="329" t="s">
        <v>25</v>
      </c>
      <c r="P490" s="329" t="s">
        <v>86</v>
      </c>
      <c r="Q490" s="414" t="s">
        <v>1330</v>
      </c>
    </row>
    <row r="491" hidden="1">
      <c r="A491" s="51">
        <v>805.0</v>
      </c>
      <c r="B491" s="51">
        <v>805.0</v>
      </c>
      <c r="C491" s="289">
        <v>241.0</v>
      </c>
      <c r="D491" s="289" t="str">
        <f>IFERROR(__xludf.DUMMYFUNCTION("if(B491&lt;=999,if(B491&lt;=99,IF(B491&lt;=9,join(,""000"",B491),join(,""00"",B491)),join(,""0"",B491)),B491)"),"0805")</f>
        <v>0805</v>
      </c>
      <c r="E491" s="301" t="s">
        <v>1114</v>
      </c>
      <c r="F491" s="325" t="s">
        <v>20</v>
      </c>
      <c r="G491" s="289" t="str">
        <f t="shared" ref="G491:G498" si="108">VLOOKUP(D491,'Copy of Form Responses; CCTV Infra 1'!$G$2:$I$675,2,false)</f>
        <v>#REF!</v>
      </c>
      <c r="H491" s="408" t="s">
        <v>21</v>
      </c>
      <c r="I491" s="289" t="str">
        <f t="shared" ref="I491:I498" si="109">VLOOKUP(D491,'Copy of Form Responses; CCTV Infra 1'!$G$2:$I$675,3,false)</f>
        <v>#REF!</v>
      </c>
      <c r="J491" s="413" t="s">
        <v>99</v>
      </c>
      <c r="K491" s="328" t="s">
        <v>20</v>
      </c>
      <c r="L491" s="329"/>
      <c r="M491" s="329" t="s">
        <v>1808</v>
      </c>
      <c r="N491" s="401">
        <v>80.0</v>
      </c>
      <c r="O491" s="329" t="s">
        <v>25</v>
      </c>
      <c r="P491" s="329" t="s">
        <v>86</v>
      </c>
      <c r="Q491" s="414" t="s">
        <v>1330</v>
      </c>
    </row>
    <row r="492" hidden="1">
      <c r="A492" s="33">
        <v>1033.0</v>
      </c>
      <c r="B492" s="34">
        <v>1033.0</v>
      </c>
      <c r="C492" s="289"/>
      <c r="D492" s="289">
        <f>IFERROR(__xludf.DUMMYFUNCTION("if(B492&lt;=999,if(B492&lt;=99,IF(B492&lt;=9,join(,""000"",B492),join(,""00"",B492)),join(,""0"",B492)),B492)"),1033.0)</f>
        <v>1033</v>
      </c>
      <c r="E492" s="297" t="s">
        <v>1115</v>
      </c>
      <c r="F492" s="289" t="s">
        <v>20</v>
      </c>
      <c r="G492" s="289" t="str">
        <f t="shared" si="108"/>
        <v>#REF!</v>
      </c>
      <c r="H492" s="399" t="s">
        <v>21</v>
      </c>
      <c r="I492" s="289" t="str">
        <f t="shared" si="109"/>
        <v>#REF!</v>
      </c>
      <c r="J492" s="400" t="s">
        <v>73</v>
      </c>
      <c r="K492" s="290" t="s">
        <v>20</v>
      </c>
      <c r="L492" s="401" t="s">
        <v>95</v>
      </c>
      <c r="M492" s="401" t="s">
        <v>1116</v>
      </c>
      <c r="N492" s="401">
        <v>1500.0</v>
      </c>
      <c r="O492" s="401" t="s">
        <v>25</v>
      </c>
      <c r="P492" s="401" t="s">
        <v>55</v>
      </c>
      <c r="Q492" s="414" t="s">
        <v>1330</v>
      </c>
    </row>
    <row r="493" hidden="1">
      <c r="A493" s="51">
        <v>949.0</v>
      </c>
      <c r="B493" s="51">
        <v>949.0</v>
      </c>
      <c r="C493" s="289"/>
      <c r="D493" s="289" t="str">
        <f>IFERROR(__xludf.DUMMYFUNCTION("if(B493&lt;=999,if(B493&lt;=99,IF(B493&lt;=9,join(,""000"",B493),join(,""00"",B493)),join(,""0"",B493)),B493)"),"0949")</f>
        <v>0949</v>
      </c>
      <c r="E493" s="326" t="s">
        <v>1117</v>
      </c>
      <c r="F493" s="325" t="s">
        <v>20</v>
      </c>
      <c r="G493" s="289" t="str">
        <f t="shared" si="108"/>
        <v>#REF!</v>
      </c>
      <c r="H493" s="408" t="s">
        <v>21</v>
      </c>
      <c r="I493" s="289" t="str">
        <f t="shared" si="109"/>
        <v>#REF!</v>
      </c>
      <c r="J493" s="400" t="s">
        <v>22</v>
      </c>
      <c r="K493" s="328" t="s">
        <v>20</v>
      </c>
      <c r="L493" s="329" t="s">
        <v>23</v>
      </c>
      <c r="M493" s="329" t="s">
        <v>1809</v>
      </c>
      <c r="N493" s="401">
        <v>4.0</v>
      </c>
      <c r="O493" s="329" t="s">
        <v>25</v>
      </c>
      <c r="P493" s="329" t="s">
        <v>342</v>
      </c>
      <c r="Q493" s="430" t="s">
        <v>1330</v>
      </c>
    </row>
    <row r="494" hidden="1">
      <c r="A494" s="51">
        <v>253.0</v>
      </c>
      <c r="B494" s="51">
        <v>253.0</v>
      </c>
      <c r="C494" s="289"/>
      <c r="D494" s="289" t="str">
        <f>IFERROR(__xludf.DUMMYFUNCTION("if(B494&lt;=999,if(B494&lt;=99,IF(B494&lt;=9,join(,""000"",B494),join(,""00"",B494)),join(,""0"",B494)),B494)"),"0253")</f>
        <v>0253</v>
      </c>
      <c r="E494" s="326" t="s">
        <v>1183</v>
      </c>
      <c r="F494" s="325" t="s">
        <v>20</v>
      </c>
      <c r="G494" s="289" t="str">
        <f t="shared" si="108"/>
        <v>#REF!</v>
      </c>
      <c r="H494" s="408" t="s">
        <v>21</v>
      </c>
      <c r="I494" s="289" t="str">
        <f t="shared" si="109"/>
        <v>#REF!</v>
      </c>
      <c r="J494" s="400" t="s">
        <v>22</v>
      </c>
      <c r="K494" s="328" t="s">
        <v>20</v>
      </c>
      <c r="L494" s="329"/>
      <c r="M494" s="329" t="s">
        <v>1810</v>
      </c>
      <c r="N494" s="401"/>
      <c r="O494" s="329" t="s">
        <v>25</v>
      </c>
      <c r="P494" s="329">
        <v>12345.0</v>
      </c>
      <c r="Q494" s="412" t="s">
        <v>87</v>
      </c>
    </row>
    <row r="495" hidden="1">
      <c r="A495" s="55">
        <v>1079.0</v>
      </c>
      <c r="B495" s="55">
        <v>1079.0</v>
      </c>
      <c r="C495" s="298"/>
      <c r="D495" s="298">
        <f>IFERROR(__xludf.DUMMYFUNCTION("if(B495&lt;=999,if(B495&lt;=99,IF(B495&lt;=9,join(,""000"",B495),join(,""00"",B495)),join(,""0"",B495)),B495)"),1079.0)</f>
        <v>1079</v>
      </c>
      <c r="E495" s="457" t="s">
        <v>1120</v>
      </c>
      <c r="F495" s="426" t="s">
        <v>20</v>
      </c>
      <c r="G495" s="298" t="str">
        <f t="shared" si="108"/>
        <v>#REF!</v>
      </c>
      <c r="H495" s="426" t="s">
        <v>21</v>
      </c>
      <c r="I495" s="298" t="str">
        <f t="shared" si="109"/>
        <v>#REF!</v>
      </c>
      <c r="J495" s="490" t="s">
        <v>77</v>
      </c>
      <c r="K495" s="427" t="s">
        <v>20</v>
      </c>
      <c r="L495" s="414" t="s">
        <v>95</v>
      </c>
      <c r="M495" s="402" t="s">
        <v>1811</v>
      </c>
      <c r="N495" s="407" t="s">
        <v>484</v>
      </c>
      <c r="O495" s="402" t="s">
        <v>25</v>
      </c>
      <c r="P495" s="402" t="s">
        <v>1122</v>
      </c>
      <c r="Q495" s="414" t="s">
        <v>1330</v>
      </c>
    </row>
    <row r="496" hidden="1">
      <c r="A496" s="469">
        <v>1126.0</v>
      </c>
      <c r="B496" s="469">
        <v>1126.0</v>
      </c>
      <c r="C496" s="416"/>
      <c r="D496" s="416">
        <f>IFERROR(__xludf.DUMMYFUNCTION("if(B496&lt;=999,if(B496&lt;=99,IF(B496&lt;=9,join(,""000"",B496),join(,""00"",B496)),join(,""0"",B496)),B496)"),1126.0)</f>
        <v>1126</v>
      </c>
      <c r="E496" s="510" t="s">
        <v>1123</v>
      </c>
      <c r="F496" s="416" t="s">
        <v>20</v>
      </c>
      <c r="G496" s="416" t="str">
        <f t="shared" si="108"/>
        <v>#REF!</v>
      </c>
      <c r="H496" s="416" t="s">
        <v>21</v>
      </c>
      <c r="I496" s="416" t="str">
        <f t="shared" si="109"/>
        <v>#REF!</v>
      </c>
      <c r="J496" s="471" t="s">
        <v>77</v>
      </c>
      <c r="K496" s="472" t="s">
        <v>20</v>
      </c>
      <c r="L496" s="423" t="s">
        <v>95</v>
      </c>
      <c r="M496" s="466" t="s">
        <v>1811</v>
      </c>
      <c r="N496" s="423" t="s">
        <v>1124</v>
      </c>
      <c r="O496" s="466" t="s">
        <v>25</v>
      </c>
      <c r="P496" s="466" t="s">
        <v>1122</v>
      </c>
      <c r="Q496" s="423" t="s">
        <v>1330</v>
      </c>
    </row>
    <row r="497" hidden="1">
      <c r="A497" s="51">
        <v>23.0</v>
      </c>
      <c r="B497" s="51">
        <v>23.0</v>
      </c>
      <c r="C497" s="289">
        <v>242.0</v>
      </c>
      <c r="D497" s="289" t="str">
        <f>IFERROR(__xludf.DUMMYFUNCTION("if(B497&lt;=999,if(B497&lt;=99,IF(B497&lt;=9,join(,""000"",B497),join(,""00"",B497)),join(,""0"",B497)),B497)"),"0023")</f>
        <v>0023</v>
      </c>
      <c r="E497" s="301" t="s">
        <v>1125</v>
      </c>
      <c r="F497" s="325" t="s">
        <v>20</v>
      </c>
      <c r="G497" s="289" t="str">
        <f t="shared" si="108"/>
        <v>#REF!</v>
      </c>
      <c r="H497" s="408" t="s">
        <v>21</v>
      </c>
      <c r="I497" s="289" t="str">
        <f t="shared" si="109"/>
        <v>#REF!</v>
      </c>
      <c r="J497" s="413" t="s">
        <v>22</v>
      </c>
      <c r="K497" s="328" t="s">
        <v>20</v>
      </c>
      <c r="L497" s="329" t="s">
        <v>28</v>
      </c>
      <c r="M497" s="329" t="s">
        <v>1812</v>
      </c>
      <c r="N497" s="401" t="s">
        <v>1126</v>
      </c>
      <c r="O497" s="329" t="s">
        <v>25</v>
      </c>
      <c r="P497" s="329" t="s">
        <v>86</v>
      </c>
      <c r="Q497" s="414" t="s">
        <v>1330</v>
      </c>
    </row>
    <row r="498">
      <c r="A498" s="51">
        <v>1404.0</v>
      </c>
      <c r="B498" s="51">
        <v>1404.0</v>
      </c>
      <c r="C498" s="260">
        <v>63.0</v>
      </c>
      <c r="D498" s="260">
        <f>IFERROR(__xludf.DUMMYFUNCTION("if(B498&lt;=999,if(B498&lt;=99,IF(B498&lt;=9,join(,""000"",B498),join(,""00"",B498)),join(,""0"",B498)),B498)"),1404.0)</f>
        <v>1404</v>
      </c>
      <c r="E498" s="270" t="s">
        <v>1127</v>
      </c>
      <c r="F498" s="260" t="s">
        <v>35</v>
      </c>
      <c r="G498" s="260" t="str">
        <f t="shared" si="108"/>
        <v>#REF!</v>
      </c>
      <c r="H498" s="410" t="s">
        <v>21</v>
      </c>
      <c r="I498" s="260" t="str">
        <f t="shared" si="109"/>
        <v>#REF!</v>
      </c>
      <c r="J498" s="264"/>
      <c r="K498" s="411" t="str">
        <f>vlookup(D498,'Elligible Training Institutes R'!$D$9:$L$19,9,false)</f>
        <v>#N/A</v>
      </c>
      <c r="L498" s="329"/>
      <c r="M498" s="329"/>
      <c r="N498" s="401" t="e">
        <v>#N/A</v>
      </c>
      <c r="O498" s="329"/>
      <c r="P498" s="329"/>
      <c r="Q498" s="412" t="s">
        <v>1423</v>
      </c>
    </row>
    <row r="499" hidden="1">
      <c r="A499" s="51">
        <v>359.0</v>
      </c>
      <c r="B499" s="51">
        <v>359.0</v>
      </c>
      <c r="C499" s="289"/>
      <c r="D499" s="289" t="str">
        <f>IFERROR(__xludf.DUMMYFUNCTION("if(B499&lt;=999,if(B499&lt;=99,IF(B499&lt;=9,join(,""000"",B499),join(,""00"",B499)),join(,""0"",B499)),B499)"),"0359")</f>
        <v>0359</v>
      </c>
      <c r="E499" s="326" t="s">
        <v>1128</v>
      </c>
      <c r="F499" s="325" t="s">
        <v>20</v>
      </c>
      <c r="G499" s="289" t="s">
        <v>1813</v>
      </c>
      <c r="H499" s="408" t="s">
        <v>21</v>
      </c>
      <c r="I499" s="289">
        <v>7.985511931E9</v>
      </c>
      <c r="J499" s="413" t="s">
        <v>1697</v>
      </c>
      <c r="K499" s="328" t="s">
        <v>20</v>
      </c>
      <c r="L499" s="401" t="s">
        <v>95</v>
      </c>
      <c r="M499" s="401" t="s">
        <v>1814</v>
      </c>
      <c r="N499" s="401"/>
      <c r="O499" s="329" t="s">
        <v>25</v>
      </c>
      <c r="P499" s="401" t="s">
        <v>1815</v>
      </c>
      <c r="Q499" s="414" t="s">
        <v>1330</v>
      </c>
    </row>
    <row r="500" hidden="1">
      <c r="A500" s="324">
        <v>1083.0</v>
      </c>
      <c r="B500" s="415">
        <v>1083.0</v>
      </c>
      <c r="C500" s="416">
        <v>243.0</v>
      </c>
      <c r="D500" s="418">
        <f>IFERROR(__xludf.DUMMYFUNCTION("if(B500&lt;=999,if(B500&lt;=99,IF(B500&lt;=9,join(,""000"",B500),join(,""00"",B500)),join(,""0"",B500)),B500)"),1083.0)</f>
        <v>1083</v>
      </c>
      <c r="E500" s="417" t="s">
        <v>1129</v>
      </c>
      <c r="F500" s="418" t="s">
        <v>20</v>
      </c>
      <c r="G500" s="418" t="str">
        <f t="shared" ref="G500:G510" si="110">VLOOKUP(D500,'Copy of Form Responses; CCTV Infra 1'!$G$2:$I$675,2,false)</f>
        <v>#REF!</v>
      </c>
      <c r="H500" s="419" t="s">
        <v>21</v>
      </c>
      <c r="I500" s="418" t="str">
        <f t="shared" ref="I500:I510" si="111">VLOOKUP(D500,'Copy of Form Responses; CCTV Infra 1'!$G$2:$I$675,3,false)</f>
        <v>#REF!</v>
      </c>
      <c r="J500" s="420" t="s">
        <v>22</v>
      </c>
      <c r="K500" s="421" t="s">
        <v>20</v>
      </c>
      <c r="L500" s="422" t="s">
        <v>95</v>
      </c>
      <c r="M500" s="422" t="s">
        <v>1814</v>
      </c>
      <c r="N500" s="422"/>
      <c r="O500" s="422" t="s">
        <v>25</v>
      </c>
      <c r="P500" s="422" t="s">
        <v>1815</v>
      </c>
      <c r="Q500" s="423" t="s">
        <v>1330</v>
      </c>
    </row>
    <row r="501" hidden="1">
      <c r="A501" s="51">
        <v>520.0</v>
      </c>
      <c r="B501" s="51">
        <v>520.0</v>
      </c>
      <c r="C501" s="289"/>
      <c r="D501" s="289" t="str">
        <f>IFERROR(__xludf.DUMMYFUNCTION("if(B501&lt;=999,if(B501&lt;=99,IF(B501&lt;=9,join(,""000"",B501),join(,""00"",B501)),join(,""0"",B501)),B501)"),"0520")</f>
        <v>0520</v>
      </c>
      <c r="E501" s="326" t="s">
        <v>1130</v>
      </c>
      <c r="F501" s="325" t="s">
        <v>20</v>
      </c>
      <c r="G501" s="289" t="str">
        <f t="shared" si="110"/>
        <v>#REF!</v>
      </c>
      <c r="H501" s="408" t="s">
        <v>21</v>
      </c>
      <c r="I501" s="289" t="str">
        <f t="shared" si="111"/>
        <v>#REF!</v>
      </c>
      <c r="J501" s="413" t="s">
        <v>101</v>
      </c>
      <c r="K501" s="328" t="s">
        <v>20</v>
      </c>
      <c r="L501" s="329" t="s">
        <v>95</v>
      </c>
      <c r="M501" s="473" t="s">
        <v>1816</v>
      </c>
      <c r="N501" s="401">
        <v>25001.0</v>
      </c>
      <c r="O501" s="329" t="s">
        <v>25</v>
      </c>
      <c r="P501" s="329" t="s">
        <v>1817</v>
      </c>
      <c r="Q501" s="414" t="s">
        <v>1330</v>
      </c>
    </row>
    <row r="502" hidden="1">
      <c r="A502" s="51">
        <v>684.0</v>
      </c>
      <c r="B502" s="51">
        <v>684.0</v>
      </c>
      <c r="C502" s="289"/>
      <c r="D502" s="289" t="str">
        <f>IFERROR(__xludf.DUMMYFUNCTION("if(B502&lt;=999,if(B502&lt;=99,IF(B502&lt;=9,join(,""000"",B502),join(,""00"",B502)),join(,""0"",B502)),B502)"),"0684")</f>
        <v>0684</v>
      </c>
      <c r="E502" s="326" t="s">
        <v>1133</v>
      </c>
      <c r="F502" s="325" t="s">
        <v>20</v>
      </c>
      <c r="G502" s="289" t="str">
        <f t="shared" si="110"/>
        <v>#REF!</v>
      </c>
      <c r="H502" s="408" t="s">
        <v>21</v>
      </c>
      <c r="I502" s="289" t="str">
        <f t="shared" si="111"/>
        <v>#REF!</v>
      </c>
      <c r="J502" s="413" t="s">
        <v>101</v>
      </c>
      <c r="K502" s="328" t="s">
        <v>20</v>
      </c>
      <c r="L502" s="329" t="s">
        <v>330</v>
      </c>
      <c r="M502" s="329" t="s">
        <v>1818</v>
      </c>
      <c r="N502" s="401">
        <v>25001.0</v>
      </c>
      <c r="O502" s="329" t="s">
        <v>25</v>
      </c>
      <c r="P502" s="329" t="s">
        <v>55</v>
      </c>
      <c r="Q502" s="414" t="s">
        <v>1330</v>
      </c>
    </row>
    <row r="503" hidden="1">
      <c r="A503" s="51">
        <v>1415.0</v>
      </c>
      <c r="B503" s="51">
        <v>1415.0</v>
      </c>
      <c r="C503" s="289"/>
      <c r="D503" s="289">
        <f>IFERROR(__xludf.DUMMYFUNCTION("if(B503&lt;=999,if(B503&lt;=99,IF(B503&lt;=9,join(,""000"",B503),join(,""00"",B503)),join(,""0"",B503)),B503)"),1415.0)</f>
        <v>1415</v>
      </c>
      <c r="E503" s="326" t="s">
        <v>1135</v>
      </c>
      <c r="F503" s="325" t="s">
        <v>20</v>
      </c>
      <c r="G503" s="289" t="str">
        <f t="shared" si="110"/>
        <v>#REF!</v>
      </c>
      <c r="H503" s="408" t="s">
        <v>21</v>
      </c>
      <c r="I503" s="289" t="str">
        <f t="shared" si="111"/>
        <v>#REF!</v>
      </c>
      <c r="J503" s="413" t="s">
        <v>73</v>
      </c>
      <c r="K503" s="328" t="s">
        <v>20</v>
      </c>
      <c r="L503" s="329" t="s">
        <v>23</v>
      </c>
      <c r="M503" s="329" t="s">
        <v>1136</v>
      </c>
      <c r="N503" s="401"/>
      <c r="O503" s="329" t="s">
        <v>25</v>
      </c>
      <c r="P503" s="329" t="s">
        <v>1138</v>
      </c>
      <c r="Q503" s="414" t="s">
        <v>1330</v>
      </c>
    </row>
    <row r="504" hidden="1">
      <c r="A504" s="51">
        <v>1390.0</v>
      </c>
      <c r="B504" s="51">
        <v>1390.0</v>
      </c>
      <c r="C504" s="289"/>
      <c r="D504" s="289">
        <f>IFERROR(__xludf.DUMMYFUNCTION("if(B504&lt;=999,if(B504&lt;=99,IF(B504&lt;=9,join(,""000"",B504),join(,""00"",B504)),join(,""0"",B504)),B504)"),1390.0)</f>
        <v>1390</v>
      </c>
      <c r="E504" s="326" t="s">
        <v>1139</v>
      </c>
      <c r="F504" s="325" t="s">
        <v>20</v>
      </c>
      <c r="G504" s="289" t="str">
        <f t="shared" si="110"/>
        <v>#REF!</v>
      </c>
      <c r="H504" s="408" t="s">
        <v>21</v>
      </c>
      <c r="I504" s="289" t="str">
        <f t="shared" si="111"/>
        <v>#REF!</v>
      </c>
      <c r="J504" s="400" t="s">
        <v>73</v>
      </c>
      <c r="K504" s="328" t="s">
        <v>20</v>
      </c>
      <c r="L504" s="513" t="s">
        <v>330</v>
      </c>
      <c r="M504" s="513" t="s">
        <v>1140</v>
      </c>
      <c r="N504" s="401">
        <v>37777.0</v>
      </c>
      <c r="O504" s="513" t="s">
        <v>25</v>
      </c>
      <c r="P504" s="513" t="s">
        <v>1141</v>
      </c>
      <c r="Q504" s="414" t="s">
        <v>1330</v>
      </c>
    </row>
    <row r="505" hidden="1">
      <c r="A505" s="33">
        <v>489.0</v>
      </c>
      <c r="B505" s="34">
        <v>489.0</v>
      </c>
      <c r="C505" s="289"/>
      <c r="D505" s="289" t="str">
        <f>IFERROR(__xludf.DUMMYFUNCTION("if(B505&lt;=999,if(B505&lt;=99,IF(B505&lt;=9,join(,""000"",B505),join(,""00"",B505)),join(,""0"",B505)),B505)"),"0489")</f>
        <v>0489</v>
      </c>
      <c r="E505" s="297" t="s">
        <v>1142</v>
      </c>
      <c r="F505" s="289" t="s">
        <v>20</v>
      </c>
      <c r="G505" s="289" t="str">
        <f t="shared" si="110"/>
        <v>#REF!</v>
      </c>
      <c r="H505" s="399" t="s">
        <v>21</v>
      </c>
      <c r="I505" s="289" t="str">
        <f t="shared" si="111"/>
        <v>#REF!</v>
      </c>
      <c r="J505" s="400"/>
      <c r="K505" s="290" t="s">
        <v>20</v>
      </c>
      <c r="L505" s="401" t="s">
        <v>95</v>
      </c>
      <c r="M505" s="401" t="s">
        <v>1819</v>
      </c>
      <c r="N505" s="401"/>
      <c r="O505" s="401" t="s">
        <v>25</v>
      </c>
      <c r="P505" s="401" t="s">
        <v>55</v>
      </c>
      <c r="Q505" s="412" t="s">
        <v>1425</v>
      </c>
    </row>
    <row r="506" hidden="1">
      <c r="A506" s="51">
        <v>68.0</v>
      </c>
      <c r="B506" s="51">
        <v>68.0</v>
      </c>
      <c r="C506" s="289"/>
      <c r="D506" s="289" t="str">
        <f>IFERROR(__xludf.DUMMYFUNCTION("if(B506&lt;=999,if(B506&lt;=99,IF(B506&lt;=9,join(,""000"",B506),join(,""00"",B506)),join(,""0"",B506)),B506)"),"0068")</f>
        <v>0068</v>
      </c>
      <c r="E506" s="326" t="s">
        <v>1143</v>
      </c>
      <c r="F506" s="325" t="s">
        <v>20</v>
      </c>
      <c r="G506" s="289" t="str">
        <f t="shared" si="110"/>
        <v>#REF!</v>
      </c>
      <c r="H506" s="408" t="s">
        <v>21</v>
      </c>
      <c r="I506" s="289" t="str">
        <f t="shared" si="111"/>
        <v>#REF!</v>
      </c>
      <c r="J506" s="400" t="s">
        <v>22</v>
      </c>
      <c r="K506" s="328" t="s">
        <v>20</v>
      </c>
      <c r="L506" s="329" t="s">
        <v>23</v>
      </c>
      <c r="M506" s="513" t="s">
        <v>1820</v>
      </c>
      <c r="N506" s="401"/>
      <c r="O506" s="445" t="s">
        <v>25</v>
      </c>
      <c r="P506" s="329" t="s">
        <v>1821</v>
      </c>
      <c r="Q506" s="414" t="s">
        <v>1330</v>
      </c>
    </row>
    <row r="507" hidden="1">
      <c r="A507" s="33">
        <v>804.0</v>
      </c>
      <c r="B507" s="34">
        <v>804.0</v>
      </c>
      <c r="C507" s="289">
        <v>244.0</v>
      </c>
      <c r="D507" s="289" t="str">
        <f>IFERROR(__xludf.DUMMYFUNCTION("if(B507&lt;=999,if(B507&lt;=99,IF(B507&lt;=9,join(,""000"",B507),join(,""00"",B507)),join(,""0"",B507)),B507)"),"0804")</f>
        <v>0804</v>
      </c>
      <c r="E507" s="296" t="s">
        <v>1145</v>
      </c>
      <c r="F507" s="289" t="s">
        <v>20</v>
      </c>
      <c r="G507" s="289" t="str">
        <f t="shared" si="110"/>
        <v>#REF!</v>
      </c>
      <c r="H507" s="399" t="s">
        <v>21</v>
      </c>
      <c r="I507" s="289" t="str">
        <f t="shared" si="111"/>
        <v>#REF!</v>
      </c>
      <c r="J507" s="400" t="s">
        <v>99</v>
      </c>
      <c r="K507" s="290" t="s">
        <v>20</v>
      </c>
      <c r="L507" s="329" t="s">
        <v>355</v>
      </c>
      <c r="M507" s="329" t="s">
        <v>1146</v>
      </c>
      <c r="N507" s="401" t="e">
        <v>#N/A</v>
      </c>
      <c r="O507" s="329" t="s">
        <v>25</v>
      </c>
      <c r="P507" s="329" t="s">
        <v>86</v>
      </c>
      <c r="Q507" s="414" t="s">
        <v>1330</v>
      </c>
    </row>
    <row r="508" hidden="1">
      <c r="A508" s="51">
        <v>679.0</v>
      </c>
      <c r="B508" s="51">
        <v>679.0</v>
      </c>
      <c r="C508" s="289">
        <v>245.0</v>
      </c>
      <c r="D508" s="289" t="str">
        <f>IFERROR(__xludf.DUMMYFUNCTION("if(B508&lt;=999,if(B508&lt;=99,IF(B508&lt;=9,join(,""000"",B508),join(,""00"",B508)),join(,""0"",B508)),B508)"),"0679")</f>
        <v>0679</v>
      </c>
      <c r="E508" s="301" t="s">
        <v>1147</v>
      </c>
      <c r="F508" s="325" t="s">
        <v>20</v>
      </c>
      <c r="G508" s="289" t="str">
        <f t="shared" si="110"/>
        <v>#REF!</v>
      </c>
      <c r="H508" s="408" t="s">
        <v>21</v>
      </c>
      <c r="I508" s="289" t="str">
        <f t="shared" si="111"/>
        <v>#REF!</v>
      </c>
      <c r="J508" s="413" t="s">
        <v>77</v>
      </c>
      <c r="K508" s="290" t="s">
        <v>20</v>
      </c>
      <c r="L508" s="329" t="s">
        <v>355</v>
      </c>
      <c r="M508" s="329" t="s">
        <v>1148</v>
      </c>
      <c r="N508" s="401"/>
      <c r="O508" s="329" t="s">
        <v>25</v>
      </c>
      <c r="P508" s="329" t="s">
        <v>1149</v>
      </c>
      <c r="Q508" s="414" t="s">
        <v>1330</v>
      </c>
    </row>
    <row r="509" hidden="1">
      <c r="A509" s="51">
        <v>621.0</v>
      </c>
      <c r="B509" s="51">
        <v>621.0</v>
      </c>
      <c r="C509" s="298">
        <v>246.0</v>
      </c>
      <c r="D509" s="289" t="str">
        <f>IFERROR(__xludf.DUMMYFUNCTION("if(B509&lt;=999,if(B509&lt;=99,IF(B509&lt;=9,join(,""000"",B509),join(,""00"",B509)),join(,""0"",B509)),B509)"),"0621")</f>
        <v>0621</v>
      </c>
      <c r="E509" s="301" t="s">
        <v>1150</v>
      </c>
      <c r="F509" s="325" t="s">
        <v>20</v>
      </c>
      <c r="G509" s="289" t="str">
        <f t="shared" si="110"/>
        <v>#REF!</v>
      </c>
      <c r="H509" s="408" t="s">
        <v>21</v>
      </c>
      <c r="I509" s="289" t="str">
        <f t="shared" si="111"/>
        <v>#REF!</v>
      </c>
      <c r="J509" s="400" t="s">
        <v>22</v>
      </c>
      <c r="K509" s="328" t="s">
        <v>20</v>
      </c>
      <c r="L509" s="513" t="s">
        <v>355</v>
      </c>
      <c r="M509" s="501" t="s">
        <v>1151</v>
      </c>
      <c r="N509" s="401">
        <v>16.0</v>
      </c>
      <c r="O509" s="513" t="s">
        <v>25</v>
      </c>
      <c r="P509" s="513" t="s">
        <v>55</v>
      </c>
      <c r="Q509" s="414" t="s">
        <v>1330</v>
      </c>
    </row>
    <row r="510" hidden="1">
      <c r="A510" s="55">
        <v>947.0</v>
      </c>
      <c r="B510" s="55">
        <v>947.0</v>
      </c>
      <c r="C510" s="298"/>
      <c r="D510" s="298" t="str">
        <f>IFERROR(__xludf.DUMMYFUNCTION("if(B510&lt;=999,if(B510&lt;=99,IF(B510&lt;=9,join(,""000"",B510),join(,""00"",B510)),join(,""0"",B510)),B510)"),"0947")</f>
        <v>0947</v>
      </c>
      <c r="E510" s="457" t="s">
        <v>1152</v>
      </c>
      <c r="F510" s="426" t="s">
        <v>20</v>
      </c>
      <c r="G510" s="298" t="str">
        <f t="shared" si="110"/>
        <v>#REF!</v>
      </c>
      <c r="H510" s="426" t="s">
        <v>21</v>
      </c>
      <c r="I510" s="298" t="str">
        <f t="shared" si="111"/>
        <v>#REF!</v>
      </c>
      <c r="J510" s="405" t="s">
        <v>101</v>
      </c>
      <c r="K510" s="427" t="s">
        <v>20</v>
      </c>
      <c r="L510" s="414" t="s">
        <v>95</v>
      </c>
      <c r="M510" s="414" t="s">
        <v>1153</v>
      </c>
      <c r="N510" s="407"/>
      <c r="O510" s="414" t="s">
        <v>25</v>
      </c>
      <c r="P510" s="414" t="s">
        <v>86</v>
      </c>
      <c r="Q510" s="414" t="s">
        <v>1330</v>
      </c>
    </row>
    <row r="511">
      <c r="A511" s="51">
        <v>1132.0</v>
      </c>
      <c r="B511" s="51">
        <v>1132.0</v>
      </c>
      <c r="C511" s="260">
        <v>64.0</v>
      </c>
      <c r="D511" s="260">
        <f>IFERROR(__xludf.DUMMYFUNCTION("if(B511&lt;=999,if(B511&lt;=99,IF(B511&lt;=9,join(,""000"",B511),join(,""00"",B511)),join(,""0"",B511)),B511)"),1132.0)</f>
        <v>1132</v>
      </c>
      <c r="E511" s="270" t="s">
        <v>1210</v>
      </c>
      <c r="F511" s="260" t="s">
        <v>20</v>
      </c>
      <c r="G511" s="260" t="s">
        <v>1463</v>
      </c>
      <c r="H511" s="410" t="s">
        <v>21</v>
      </c>
      <c r="I511" s="260">
        <v>8.004978521E9</v>
      </c>
      <c r="J511" s="264" t="s">
        <v>99</v>
      </c>
      <c r="K511" s="411" t="str">
        <f>vlookup(D511,'Elligible Training Institutes R'!$D$9:$L$19,9,false)</f>
        <v>#N/A</v>
      </c>
      <c r="L511" s="513" t="s">
        <v>254</v>
      </c>
      <c r="M511" s="513" t="s">
        <v>1464</v>
      </c>
      <c r="N511" s="401" t="e">
        <v>#N/A</v>
      </c>
      <c r="O511" s="513" t="s">
        <v>25</v>
      </c>
      <c r="P511" s="513">
        <v>1.2345678E7</v>
      </c>
      <c r="Q511" s="414" t="s">
        <v>1330</v>
      </c>
    </row>
    <row r="512">
      <c r="A512" s="51">
        <v>948.0</v>
      </c>
      <c r="B512" s="51">
        <v>948.0</v>
      </c>
      <c r="C512" s="260">
        <v>65.0</v>
      </c>
      <c r="D512" s="260" t="str">
        <f>IFERROR(__xludf.DUMMYFUNCTION("if(B512&lt;=999,if(B512&lt;=99,IF(B512&lt;=9,join(,""000"",B512),join(,""00"",B512)),join(,""0"",B512)),B512)"),"0948")</f>
        <v>0948</v>
      </c>
      <c r="E512" s="270" t="s">
        <v>1288</v>
      </c>
      <c r="F512" s="260" t="s">
        <v>20</v>
      </c>
      <c r="G512" s="260" t="str">
        <f t="shared" ref="G512:G513" si="112">VLOOKUP(D512,'Copy of Form Responses; CCTV Infra 1'!$G$2:$I$675,2,false)</f>
        <v>#REF!</v>
      </c>
      <c r="H512" s="410" t="s">
        <v>21</v>
      </c>
      <c r="I512" s="260" t="str">
        <f t="shared" ref="I512:I513" si="113">VLOOKUP(D512,'Copy of Form Responses; CCTV Infra 1'!$G$2:$I$675,3,false)</f>
        <v>#REF!</v>
      </c>
      <c r="J512" s="264" t="s">
        <v>101</v>
      </c>
      <c r="K512" s="411" t="str">
        <f>vlookup(D512,'Elligible Training Institutes R'!$D$9:$L$19,9,false)</f>
        <v>#N/A</v>
      </c>
      <c r="L512" s="329"/>
      <c r="M512" s="329" t="s">
        <v>1465</v>
      </c>
      <c r="N512" s="401"/>
      <c r="O512" s="329"/>
      <c r="P512" s="329"/>
      <c r="Q512" s="338" t="s">
        <v>87</v>
      </c>
    </row>
    <row r="513" hidden="1">
      <c r="A513" s="51">
        <v>977.0</v>
      </c>
      <c r="B513" s="51">
        <v>977.0</v>
      </c>
      <c r="C513" s="289">
        <v>247.0</v>
      </c>
      <c r="D513" s="289" t="str">
        <f>IFERROR(__xludf.DUMMYFUNCTION("if(B513&lt;=999,if(B513&lt;=99,IF(B513&lt;=9,join(,""000"",B513),join(,""00"",B513)),join(,""0"",B513)),B513)"),"0977")</f>
        <v>0977</v>
      </c>
      <c r="E513" s="301" t="s">
        <v>1159</v>
      </c>
      <c r="F513" s="325" t="s">
        <v>20</v>
      </c>
      <c r="G513" s="289" t="str">
        <f t="shared" si="112"/>
        <v>#REF!</v>
      </c>
      <c r="H513" s="408" t="s">
        <v>21</v>
      </c>
      <c r="I513" s="289" t="str">
        <f t="shared" si="113"/>
        <v>#REF!</v>
      </c>
      <c r="J513" s="400" t="s">
        <v>22</v>
      </c>
      <c r="K513" s="328" t="s">
        <v>20</v>
      </c>
      <c r="L513" s="329" t="s">
        <v>95</v>
      </c>
      <c r="M513" s="329" t="s">
        <v>1822</v>
      </c>
      <c r="N513" s="401">
        <v>80.0</v>
      </c>
      <c r="O513" s="329" t="s">
        <v>25</v>
      </c>
      <c r="P513" s="507" t="s">
        <v>163</v>
      </c>
      <c r="Q513" s="414" t="s">
        <v>1330</v>
      </c>
    </row>
    <row r="514" hidden="1">
      <c r="A514" s="51">
        <v>1464.0</v>
      </c>
      <c r="B514" s="51">
        <v>1464.0</v>
      </c>
      <c r="C514" s="289"/>
      <c r="D514" s="289">
        <f>IFERROR(__xludf.DUMMYFUNCTION("if(B514&lt;=999,if(B514&lt;=99,IF(B514&lt;=9,join(,""000"",B514),join(,""00"",B514)),join(,""0"",B514)),B514)"),1464.0)</f>
        <v>1464</v>
      </c>
      <c r="E514" s="326" t="s">
        <v>150</v>
      </c>
      <c r="F514" s="325" t="s">
        <v>20</v>
      </c>
      <c r="G514" s="289" t="s">
        <v>1823</v>
      </c>
      <c r="H514" s="408" t="s">
        <v>21</v>
      </c>
      <c r="I514" s="289" t="s">
        <v>1824</v>
      </c>
      <c r="J514" s="400" t="s">
        <v>22</v>
      </c>
      <c r="K514" s="328" t="s">
        <v>20</v>
      </c>
      <c r="L514" s="329" t="s">
        <v>95</v>
      </c>
      <c r="M514" s="329" t="s">
        <v>1825</v>
      </c>
      <c r="N514" s="401"/>
      <c r="O514" s="439" t="s">
        <v>25</v>
      </c>
      <c r="P514" s="439" t="s">
        <v>55</v>
      </c>
      <c r="Q514" s="414" t="s">
        <v>1330</v>
      </c>
    </row>
    <row r="515" hidden="1">
      <c r="A515" s="51">
        <v>641.0</v>
      </c>
      <c r="B515" s="51">
        <v>641.0</v>
      </c>
      <c r="C515" s="289"/>
      <c r="D515" s="289" t="str">
        <f>IFERROR(__xludf.DUMMYFUNCTION("if(B515&lt;=999,if(B515&lt;=99,IF(B515&lt;=9,join(,""000"",B515),join(,""00"",B515)),join(,""0"",B515)),B515)"),"0641")</f>
        <v>0641</v>
      </c>
      <c r="E515" s="326" t="s">
        <v>1161</v>
      </c>
      <c r="F515" s="289" t="s">
        <v>20</v>
      </c>
      <c r="G515" s="289" t="s">
        <v>1826</v>
      </c>
      <c r="H515" s="408">
        <v>8.279700382E9</v>
      </c>
      <c r="I515" s="289">
        <v>8.743874348E9</v>
      </c>
      <c r="J515" s="400" t="s">
        <v>22</v>
      </c>
      <c r="K515" s="328" t="s">
        <v>20</v>
      </c>
      <c r="L515" s="329" t="s">
        <v>1162</v>
      </c>
      <c r="M515" s="291" t="s">
        <v>1163</v>
      </c>
      <c r="N515" s="401"/>
      <c r="O515" s="439" t="s">
        <v>25</v>
      </c>
      <c r="P515" s="439" t="s">
        <v>25</v>
      </c>
      <c r="Q515" s="414" t="s">
        <v>1330</v>
      </c>
    </row>
    <row r="516">
      <c r="A516" s="51">
        <v>1077.0</v>
      </c>
      <c r="B516" s="51">
        <v>1077.0</v>
      </c>
      <c r="C516" s="260">
        <v>66.0</v>
      </c>
      <c r="D516" s="260">
        <f>IFERROR(__xludf.DUMMYFUNCTION("if(B516&lt;=999,if(B516&lt;=99,IF(B516&lt;=9,join(,""000"",B516),join(,""00"",B516)),join(,""0"",B516)),B516)"),1077.0)</f>
        <v>1077</v>
      </c>
      <c r="E516" s="270" t="s">
        <v>1276</v>
      </c>
      <c r="F516" s="260" t="s">
        <v>20</v>
      </c>
      <c r="G516" s="260" t="str">
        <f t="shared" ref="G516:G518" si="114">VLOOKUP(D516,'Copy of Form Responses; CCTV Infra 1'!$G$2:$I$675,2,false)</f>
        <v>#REF!</v>
      </c>
      <c r="H516" s="410" t="s">
        <v>21</v>
      </c>
      <c r="I516" s="260" t="str">
        <f t="shared" ref="I516:I518" si="115">VLOOKUP(D516,'Copy of Form Responses; CCTV Infra 1'!$G$2:$I$675,3,false)</f>
        <v>#REF!</v>
      </c>
      <c r="J516" s="264" t="s">
        <v>117</v>
      </c>
      <c r="K516" s="411" t="str">
        <f>vlookup(D516,'Elligible Training Institutes R'!$D$9:$L$19,9,false)</f>
        <v>#N/A</v>
      </c>
      <c r="L516" s="329"/>
      <c r="M516" s="329" t="s">
        <v>1465</v>
      </c>
      <c r="N516" s="401">
        <v>25001.0</v>
      </c>
      <c r="O516" s="329"/>
      <c r="P516" s="329"/>
      <c r="Q516" s="338" t="s">
        <v>1466</v>
      </c>
    </row>
    <row r="517" hidden="1">
      <c r="A517" s="51">
        <v>638.0</v>
      </c>
      <c r="B517" s="51">
        <v>638.0</v>
      </c>
      <c r="C517" s="289"/>
      <c r="D517" s="289" t="str">
        <f>IFERROR(__xludf.DUMMYFUNCTION("if(B517&lt;=999,if(B517&lt;=99,IF(B517&lt;=9,join(,""000"",B517),join(,""00"",B517)),join(,""0"",B517)),B517)"),"0638")</f>
        <v>0638</v>
      </c>
      <c r="E517" s="326" t="s">
        <v>1165</v>
      </c>
      <c r="F517" s="325" t="s">
        <v>20</v>
      </c>
      <c r="G517" s="289" t="str">
        <f t="shared" si="114"/>
        <v>#REF!</v>
      </c>
      <c r="H517" s="408" t="s">
        <v>21</v>
      </c>
      <c r="I517" s="289" t="str">
        <f t="shared" si="115"/>
        <v>#REF!</v>
      </c>
      <c r="J517" s="400" t="s">
        <v>73</v>
      </c>
      <c r="K517" s="328" t="s">
        <v>20</v>
      </c>
      <c r="L517" s="329" t="s">
        <v>95</v>
      </c>
      <c r="M517" s="329" t="s">
        <v>1167</v>
      </c>
      <c r="N517" s="401">
        <v>250001.0</v>
      </c>
      <c r="O517" s="329" t="s">
        <v>104</v>
      </c>
      <c r="P517" s="329" t="s">
        <v>256</v>
      </c>
      <c r="Q517" s="414" t="s">
        <v>1330</v>
      </c>
    </row>
    <row r="518" hidden="1">
      <c r="A518" s="33">
        <v>1247.0</v>
      </c>
      <c r="B518" s="34">
        <v>1247.0</v>
      </c>
      <c r="C518" s="289"/>
      <c r="D518" s="289">
        <f>IFERROR(__xludf.DUMMYFUNCTION("if(B518&lt;=999,if(B518&lt;=99,IF(B518&lt;=9,join(,""000"",B518),join(,""00"",B518)),join(,""0"",B518)),B518)"),1247.0)</f>
        <v>1247</v>
      </c>
      <c r="E518" s="297" t="s">
        <v>1168</v>
      </c>
      <c r="F518" s="289" t="s">
        <v>20</v>
      </c>
      <c r="G518" s="289" t="str">
        <f t="shared" si="114"/>
        <v>#REF!</v>
      </c>
      <c r="H518" s="399" t="s">
        <v>21</v>
      </c>
      <c r="I518" s="289" t="str">
        <f t="shared" si="115"/>
        <v>#REF!</v>
      </c>
      <c r="J518" s="400" t="s">
        <v>34</v>
      </c>
      <c r="K518" s="290" t="s">
        <v>20</v>
      </c>
      <c r="L518" s="401" t="s">
        <v>1827</v>
      </c>
      <c r="M518" s="401" t="s">
        <v>1828</v>
      </c>
      <c r="N518" s="401" t="s">
        <v>453</v>
      </c>
      <c r="O518" s="401">
        <v>111111.0</v>
      </c>
      <c r="P518" s="401" t="s">
        <v>1829</v>
      </c>
      <c r="Q518" s="414" t="s">
        <v>1330</v>
      </c>
    </row>
    <row r="519">
      <c r="A519" s="51">
        <v>1449.0</v>
      </c>
      <c r="B519" s="51">
        <v>1449.0</v>
      </c>
      <c r="C519" s="260">
        <v>67.0</v>
      </c>
      <c r="D519" s="260">
        <f>IFERROR(__xludf.DUMMYFUNCTION("if(B519&lt;=999,if(B519&lt;=99,IF(B519&lt;=9,join(,""000"",B519),join(,""00"",B519)),join(,""0"",B519)),B519)"),1449.0)</f>
        <v>1449</v>
      </c>
      <c r="E519" s="270" t="s">
        <v>1156</v>
      </c>
      <c r="F519" s="260" t="s">
        <v>20</v>
      </c>
      <c r="G519" s="260" t="s">
        <v>1830</v>
      </c>
      <c r="H519" s="410" t="s">
        <v>21</v>
      </c>
      <c r="I519" s="260">
        <v>7.839331573E9</v>
      </c>
      <c r="J519" s="264" t="s">
        <v>22</v>
      </c>
      <c r="K519" s="411" t="str">
        <f>vlookup(D519,'Elligible Training Institutes R'!$D$9:$L$19,9,false)</f>
        <v>#N/A</v>
      </c>
      <c r="L519" s="329" t="s">
        <v>95</v>
      </c>
      <c r="M519" s="478" t="s">
        <v>1831</v>
      </c>
      <c r="N519" s="401"/>
      <c r="O519" s="439" t="s">
        <v>25</v>
      </c>
      <c r="P519" s="439" t="s">
        <v>55</v>
      </c>
      <c r="Q519" s="412" t="s">
        <v>1435</v>
      </c>
    </row>
    <row r="520" hidden="1">
      <c r="A520" s="45">
        <v>1035.0</v>
      </c>
      <c r="B520" s="45">
        <v>1035.0</v>
      </c>
      <c r="C520" s="289">
        <v>248.0</v>
      </c>
      <c r="D520" s="298">
        <f>IFERROR(__xludf.DUMMYFUNCTION("if(B520&lt;=999,if(B520&lt;=99,IF(B520&lt;=9,join(,""000"",B520),join(,""00"",B520)),join(,""0"",B520)),B520)"),1035.0)</f>
        <v>1035</v>
      </c>
      <c r="E520" s="299" t="s">
        <v>1170</v>
      </c>
      <c r="F520" s="298" t="s">
        <v>20</v>
      </c>
      <c r="G520" s="298" t="str">
        <f t="shared" ref="G520:G523" si="116">VLOOKUP(D520,'Copy of Form Responses; CCTV Infra 1'!$G$2:$I$675,2,false)</f>
        <v>#REF!</v>
      </c>
      <c r="H520" s="298" t="s">
        <v>21</v>
      </c>
      <c r="I520" s="298" t="str">
        <f t="shared" ref="I520:I523" si="117">VLOOKUP(D520,'Copy of Form Responses; CCTV Infra 1'!$G$2:$I$675,3,false)</f>
        <v>#REF!</v>
      </c>
      <c r="J520" s="405" t="s">
        <v>22</v>
      </c>
      <c r="K520" s="406" t="s">
        <v>20</v>
      </c>
      <c r="L520" s="407" t="s">
        <v>95</v>
      </c>
      <c r="M520" s="407" t="s">
        <v>1171</v>
      </c>
      <c r="N520" s="407">
        <v>25001.0</v>
      </c>
      <c r="O520" s="407" t="s">
        <v>25</v>
      </c>
      <c r="P520" s="407">
        <v>8.8888888E7</v>
      </c>
      <c r="Q520" s="414" t="s">
        <v>1330</v>
      </c>
    </row>
    <row r="521" hidden="1">
      <c r="A521" s="51">
        <v>226.0</v>
      </c>
      <c r="B521" s="51">
        <v>226.0</v>
      </c>
      <c r="C521" s="289"/>
      <c r="D521" s="289" t="str">
        <f>IFERROR(__xludf.DUMMYFUNCTION("if(B521&lt;=999,if(B521&lt;=99,IF(B521&lt;=9,join(,""000"",B521),join(,""00"",B521)),join(,""0"",B521)),B521)"),"0226")</f>
        <v>0226</v>
      </c>
      <c r="E521" s="326" t="s">
        <v>1173</v>
      </c>
      <c r="F521" s="325" t="s">
        <v>20</v>
      </c>
      <c r="G521" s="289" t="str">
        <f t="shared" si="116"/>
        <v>#REF!</v>
      </c>
      <c r="H521" s="408" t="s">
        <v>21</v>
      </c>
      <c r="I521" s="289" t="str">
        <f t="shared" si="117"/>
        <v>#REF!</v>
      </c>
      <c r="J521" s="413" t="s">
        <v>99</v>
      </c>
      <c r="K521" s="328" t="s">
        <v>20</v>
      </c>
      <c r="L521" s="329"/>
      <c r="M521" s="329" t="s">
        <v>1832</v>
      </c>
      <c r="N521" s="401">
        <v>250001.0</v>
      </c>
      <c r="O521" s="329" t="s">
        <v>1833</v>
      </c>
      <c r="P521" s="329" t="s">
        <v>256</v>
      </c>
      <c r="Q521" s="414" t="s">
        <v>1330</v>
      </c>
    </row>
    <row r="522">
      <c r="A522" s="51">
        <v>1028.0</v>
      </c>
      <c r="B522" s="51">
        <v>1028.0</v>
      </c>
      <c r="C522" s="260">
        <v>68.0</v>
      </c>
      <c r="D522" s="260">
        <f>IFERROR(__xludf.DUMMYFUNCTION("if(B522&lt;=999,if(B522&lt;=99,IF(B522&lt;=9,join(,""000"",B522),join(,""00"",B522)),join(,""0"",B522)),B522)"),1028.0)</f>
        <v>1028</v>
      </c>
      <c r="E522" s="270" t="s">
        <v>1174</v>
      </c>
      <c r="F522" s="260" t="s">
        <v>20</v>
      </c>
      <c r="G522" s="260" t="str">
        <f t="shared" si="116"/>
        <v>#REF!</v>
      </c>
      <c r="H522" s="410" t="s">
        <v>21</v>
      </c>
      <c r="I522" s="260" t="str">
        <f t="shared" si="117"/>
        <v>#REF!</v>
      </c>
      <c r="J522" s="264" t="s">
        <v>101</v>
      </c>
      <c r="K522" s="411" t="str">
        <f>vlookup(D522,'Elligible Training Institutes R'!$D$9:$L$19,9,false)</f>
        <v>#N/A</v>
      </c>
      <c r="L522" s="329"/>
      <c r="M522" s="329"/>
      <c r="N522" s="401">
        <v>36666.0</v>
      </c>
      <c r="O522" s="329"/>
      <c r="P522" s="329"/>
      <c r="Q522" s="412">
        <v>1036.0</v>
      </c>
    </row>
    <row r="523">
      <c r="A523" s="33">
        <v>342.0</v>
      </c>
      <c r="B523" s="34">
        <v>342.0</v>
      </c>
      <c r="C523" s="260">
        <v>69.0</v>
      </c>
      <c r="D523" s="260" t="str">
        <f>IFERROR(__xludf.DUMMYFUNCTION("if(B523&lt;=999,if(B523&lt;=99,IF(B523&lt;=9,join(,""000"",B523),join(,""00"",B523)),join(,""0"",B523)),B523)"),"0342")</f>
        <v>0342</v>
      </c>
      <c r="E523" s="270" t="s">
        <v>1175</v>
      </c>
      <c r="F523" s="260" t="s">
        <v>35</v>
      </c>
      <c r="G523" s="260" t="str">
        <f t="shared" si="116"/>
        <v>#REF!</v>
      </c>
      <c r="H523" s="410" t="s">
        <v>21</v>
      </c>
      <c r="I523" s="260" t="str">
        <f t="shared" si="117"/>
        <v>#REF!</v>
      </c>
      <c r="J523" s="264"/>
      <c r="K523" s="411" t="str">
        <f>vlookup(D523,'Elligible Training Institutes R'!$D$9:$L$19,9,false)</f>
        <v>#N/A</v>
      </c>
      <c r="L523" s="401"/>
      <c r="M523" s="401"/>
      <c r="N523" s="401" t="e">
        <v>#N/A</v>
      </c>
      <c r="O523" s="401"/>
      <c r="P523" s="401"/>
      <c r="Q523" s="412" t="s">
        <v>1423</v>
      </c>
    </row>
    <row r="524" hidden="1">
      <c r="A524" s="51">
        <v>1228.0</v>
      </c>
      <c r="B524" s="51">
        <v>1228.0</v>
      </c>
      <c r="C524" s="289"/>
      <c r="D524" s="289">
        <f>IFERROR(__xludf.DUMMYFUNCTION("if(B524&lt;=999,if(B524&lt;=99,IF(B524&lt;=9,join(,""000"",B524),join(,""00"",B524)),join(,""0"",B524)),B524)"),1228.0)</f>
        <v>1228</v>
      </c>
      <c r="E524" s="326" t="s">
        <v>1176</v>
      </c>
      <c r="F524" s="289" t="s">
        <v>20</v>
      </c>
      <c r="G524" s="289" t="s">
        <v>1834</v>
      </c>
      <c r="H524" s="408" t="s">
        <v>21</v>
      </c>
      <c r="I524" s="289">
        <v>9.758836064E9</v>
      </c>
      <c r="J524" s="400" t="s">
        <v>22</v>
      </c>
      <c r="K524" s="328" t="s">
        <v>20</v>
      </c>
      <c r="L524" s="329" t="s">
        <v>783</v>
      </c>
      <c r="M524" s="329" t="s">
        <v>1835</v>
      </c>
      <c r="N524" s="401" t="e">
        <v>#N/A</v>
      </c>
      <c r="O524" s="329" t="s">
        <v>25</v>
      </c>
      <c r="P524" s="329" t="s">
        <v>55</v>
      </c>
      <c r="Q524" s="414" t="s">
        <v>1330</v>
      </c>
    </row>
    <row r="525">
      <c r="A525" s="51">
        <v>536.0</v>
      </c>
      <c r="B525" s="51">
        <v>536.0</v>
      </c>
      <c r="C525" s="260">
        <v>70.0</v>
      </c>
      <c r="D525" s="260" t="str">
        <f>IFERROR(__xludf.DUMMYFUNCTION("if(B525&lt;=999,if(B525&lt;=99,IF(B525&lt;=9,join(,""000"",B525),join(,""00"",B525)),join(,""0"",B525)),B525)"),"0536")</f>
        <v>0536</v>
      </c>
      <c r="E525" s="270" t="s">
        <v>1180</v>
      </c>
      <c r="F525" s="260" t="s">
        <v>35</v>
      </c>
      <c r="G525" s="260" t="str">
        <f t="shared" ref="G525:G526" si="118">VLOOKUP(D525,'Copy of Form Responses; CCTV Infra 1'!$G$2:$I$675,2,false)</f>
        <v>#REF!</v>
      </c>
      <c r="H525" s="410" t="s">
        <v>21</v>
      </c>
      <c r="I525" s="260" t="str">
        <f t="shared" ref="I525:I526" si="119">VLOOKUP(D525,'Copy of Form Responses; CCTV Infra 1'!$G$2:$I$675,3,false)</f>
        <v>#REF!</v>
      </c>
      <c r="J525" s="264"/>
      <c r="K525" s="411" t="str">
        <f>vlookup(D525,'Elligible Training Institutes R'!$D$9:$L$19,9,false)</f>
        <v>#N/A</v>
      </c>
      <c r="L525" s="329"/>
      <c r="M525" s="329"/>
      <c r="N525" s="401" t="e">
        <v>#N/A</v>
      </c>
      <c r="O525" s="329"/>
      <c r="P525" s="329"/>
      <c r="Q525" s="412" t="s">
        <v>1423</v>
      </c>
    </row>
    <row r="526">
      <c r="A526" s="33">
        <v>1337.0</v>
      </c>
      <c r="B526" s="34">
        <v>1337.0</v>
      </c>
      <c r="C526" s="260">
        <v>71.0</v>
      </c>
      <c r="D526" s="260">
        <f>IFERROR(__xludf.DUMMYFUNCTION("if(B526&lt;=999,if(B526&lt;=99,IF(B526&lt;=9,join(,""000"",B526),join(,""00"",B526)),join(,""0"",B526)),B526)"),1337.0)</f>
        <v>1337</v>
      </c>
      <c r="E526" s="270" t="s">
        <v>349</v>
      </c>
      <c r="F526" s="260" t="s">
        <v>20</v>
      </c>
      <c r="G526" s="260" t="str">
        <f t="shared" si="118"/>
        <v>#REF!</v>
      </c>
      <c r="H526" s="410" t="s">
        <v>21</v>
      </c>
      <c r="I526" s="260" t="str">
        <f t="shared" si="119"/>
        <v>#REF!</v>
      </c>
      <c r="J526" s="264" t="s">
        <v>34</v>
      </c>
      <c r="K526" s="411" t="str">
        <f>vlookup(D526,'Elligible Training Institutes R'!$D$9:$L$19,9,false)</f>
        <v>#N/A</v>
      </c>
      <c r="L526" s="401" t="s">
        <v>95</v>
      </c>
      <c r="M526" s="401" t="s">
        <v>1470</v>
      </c>
      <c r="N526" s="401">
        <v>25001.0</v>
      </c>
      <c r="O526" s="401" t="s">
        <v>104</v>
      </c>
      <c r="P526" s="401" t="s">
        <v>1471</v>
      </c>
      <c r="Q526" s="414" t="s">
        <v>1330</v>
      </c>
    </row>
    <row r="527" hidden="1">
      <c r="A527" s="33">
        <v>1441.0</v>
      </c>
      <c r="B527" s="34">
        <v>1441.0</v>
      </c>
      <c r="C527" s="289"/>
      <c r="D527" s="289">
        <f>IFERROR(__xludf.DUMMYFUNCTION("if(B527&lt;=999,if(B527&lt;=99,IF(B527&lt;=9,join(,""000"",B527),join(,""00"",B527)),join(,""0"",B527)),B527)"),1441.0)</f>
        <v>1441</v>
      </c>
      <c r="E527" s="297" t="s">
        <v>757</v>
      </c>
      <c r="F527" s="289" t="s">
        <v>20</v>
      </c>
      <c r="G527" s="289" t="s">
        <v>1836</v>
      </c>
      <c r="H527" s="399" t="s">
        <v>21</v>
      </c>
      <c r="I527" s="289" t="s">
        <v>1837</v>
      </c>
      <c r="J527" s="400" t="s">
        <v>63</v>
      </c>
      <c r="K527" s="290" t="s">
        <v>20</v>
      </c>
      <c r="L527" s="401" t="s">
        <v>511</v>
      </c>
      <c r="M527" s="401" t="s">
        <v>758</v>
      </c>
      <c r="N527" s="401" t="e">
        <v>#N/A</v>
      </c>
      <c r="O527" s="401" t="s">
        <v>25</v>
      </c>
      <c r="P527" s="401" t="s">
        <v>523</v>
      </c>
      <c r="Q527" s="414" t="s">
        <v>1330</v>
      </c>
    </row>
    <row r="528" hidden="1">
      <c r="A528" s="33">
        <v>1422.0</v>
      </c>
      <c r="B528" s="34">
        <v>1422.0</v>
      </c>
      <c r="C528" s="289"/>
      <c r="D528" s="289">
        <f>IFERROR(__xludf.DUMMYFUNCTION("if(B528&lt;=999,if(B528&lt;=99,IF(B528&lt;=9,join(,""000"",B528),join(,""00"",B528)),join(,""0"",B528)),B528)"),1422.0)</f>
        <v>1422</v>
      </c>
      <c r="E528" s="297" t="s">
        <v>776</v>
      </c>
      <c r="F528" s="289" t="s">
        <v>20</v>
      </c>
      <c r="G528" s="289" t="str">
        <f t="shared" ref="G528:G529" si="120">VLOOKUP(D528,'Copy of Form Responses; CCTV Infra 1'!$G$2:$I$675,2,false)</f>
        <v>#REF!</v>
      </c>
      <c r="H528" s="399" t="s">
        <v>21</v>
      </c>
      <c r="I528" s="289" t="str">
        <f t="shared" ref="I528:I535" si="121">VLOOKUP(D528,'Copy of Form Responses; CCTV Infra 1'!$G$2:$I$675,3,false)</f>
        <v>#REF!</v>
      </c>
      <c r="J528" s="400" t="s">
        <v>117</v>
      </c>
      <c r="K528" s="290" t="s">
        <v>20</v>
      </c>
      <c r="L528" s="329" t="s">
        <v>28</v>
      </c>
      <c r="M528" s="401" t="s">
        <v>1838</v>
      </c>
      <c r="N528" s="401"/>
      <c r="O528" s="401" t="s">
        <v>25</v>
      </c>
      <c r="P528" s="401" t="s">
        <v>163</v>
      </c>
      <c r="Q528" s="414" t="s">
        <v>1330</v>
      </c>
    </row>
    <row r="529">
      <c r="A529" s="33">
        <v>1246.0</v>
      </c>
      <c r="B529" s="34">
        <v>1246.0</v>
      </c>
      <c r="C529" s="260">
        <v>72.0</v>
      </c>
      <c r="D529" s="260">
        <f>IFERROR(__xludf.DUMMYFUNCTION("if(B529&lt;=999,if(B529&lt;=99,IF(B529&lt;=9,join(,""000"",B529),join(,""00"",B529)),join(,""0"",B529)),B529)"),1246.0)</f>
        <v>1246</v>
      </c>
      <c r="E529" s="270" t="s">
        <v>1184</v>
      </c>
      <c r="F529" s="260" t="s">
        <v>35</v>
      </c>
      <c r="G529" s="260" t="str">
        <f t="shared" si="120"/>
        <v>#REF!</v>
      </c>
      <c r="H529" s="410" t="s">
        <v>21</v>
      </c>
      <c r="I529" s="260" t="str">
        <f t="shared" si="121"/>
        <v>#REF!</v>
      </c>
      <c r="J529" s="264"/>
      <c r="K529" s="411" t="str">
        <f>vlookup(D529,'Elligible Training Institutes R'!$D$9:$L$19,9,false)</f>
        <v>#N/A</v>
      </c>
      <c r="L529" s="401"/>
      <c r="M529" s="401"/>
      <c r="N529" s="401" t="e">
        <v>#N/A</v>
      </c>
      <c r="O529" s="401"/>
      <c r="P529" s="401"/>
      <c r="Q529" s="412" t="s">
        <v>1423</v>
      </c>
    </row>
    <row r="530" hidden="1">
      <c r="A530" s="51">
        <v>462.0</v>
      </c>
      <c r="B530" s="51">
        <v>462.0</v>
      </c>
      <c r="C530" s="289"/>
      <c r="D530" s="289" t="str">
        <f>IFERROR(__xludf.DUMMYFUNCTION("if(B530&lt;=999,if(B530&lt;=99,IF(B530&lt;=9,join(,""000"",B530),join(,""00"",B530)),join(,""0"",B530)),B530)"),"0462")</f>
        <v>0462</v>
      </c>
      <c r="E530" s="326" t="s">
        <v>1185</v>
      </c>
      <c r="F530" s="325" t="s">
        <v>20</v>
      </c>
      <c r="G530" s="289" t="s">
        <v>1839</v>
      </c>
      <c r="H530" s="408">
        <v>7.830532416E9</v>
      </c>
      <c r="I530" s="289" t="str">
        <f t="shared" si="121"/>
        <v>#REF!</v>
      </c>
      <c r="J530" s="413"/>
      <c r="K530" s="328" t="s">
        <v>20</v>
      </c>
      <c r="L530" s="329" t="s">
        <v>95</v>
      </c>
      <c r="M530" s="291" t="s">
        <v>1186</v>
      </c>
      <c r="N530" s="401">
        <v>8.0</v>
      </c>
      <c r="O530" s="439" t="s">
        <v>25</v>
      </c>
      <c r="P530" s="439" t="s">
        <v>86</v>
      </c>
      <c r="Q530" s="414" t="s">
        <v>1330</v>
      </c>
    </row>
    <row r="531" hidden="1">
      <c r="A531" s="51">
        <v>1193.0</v>
      </c>
      <c r="B531" s="51">
        <v>1193.0</v>
      </c>
      <c r="C531" s="298">
        <v>249.0</v>
      </c>
      <c r="D531" s="289">
        <f>IFERROR(__xludf.DUMMYFUNCTION("if(B531&lt;=999,if(B531&lt;=99,IF(B531&lt;=9,join(,""000"",B531),join(,""00"",B531)),join(,""0"",B531)),B531)"),1193.0)</f>
        <v>1193</v>
      </c>
      <c r="E531" s="301" t="s">
        <v>1187</v>
      </c>
      <c r="F531" s="325" t="s">
        <v>20</v>
      </c>
      <c r="G531" s="289" t="str">
        <f t="shared" ref="G531:G535" si="122">VLOOKUP(D531,'Copy of Form Responses; CCTV Infra 1'!$G$2:$I$675,2,false)</f>
        <v>#REF!</v>
      </c>
      <c r="H531" s="408" t="s">
        <v>21</v>
      </c>
      <c r="I531" s="289" t="str">
        <f t="shared" si="121"/>
        <v>#REF!</v>
      </c>
      <c r="J531" s="400" t="s">
        <v>22</v>
      </c>
      <c r="K531" s="328" t="s">
        <v>20</v>
      </c>
      <c r="L531" s="329" t="s">
        <v>28</v>
      </c>
      <c r="M531" s="514" t="s">
        <v>1840</v>
      </c>
      <c r="N531" s="401" t="s">
        <v>1188</v>
      </c>
      <c r="O531" s="439" t="s">
        <v>25</v>
      </c>
      <c r="P531" s="439" t="s">
        <v>86</v>
      </c>
      <c r="Q531" s="414" t="s">
        <v>1330</v>
      </c>
    </row>
    <row r="532" hidden="1">
      <c r="A532" s="51">
        <v>1401.0</v>
      </c>
      <c r="B532" s="51">
        <v>1401.0</v>
      </c>
      <c r="C532" s="289">
        <v>250.0</v>
      </c>
      <c r="D532" s="289">
        <f>IFERROR(__xludf.DUMMYFUNCTION("if(B532&lt;=999,if(B532&lt;=99,IF(B532&lt;=9,join(,""000"",B532),join(,""00"",B532)),join(,""0"",B532)),B532)"),1401.0)</f>
        <v>1401</v>
      </c>
      <c r="E532" s="301" t="s">
        <v>1189</v>
      </c>
      <c r="F532" s="325" t="s">
        <v>20</v>
      </c>
      <c r="G532" s="289" t="str">
        <f t="shared" si="122"/>
        <v>#REF!</v>
      </c>
      <c r="H532" s="408" t="s">
        <v>21</v>
      </c>
      <c r="I532" s="289" t="str">
        <f t="shared" si="121"/>
        <v>#REF!</v>
      </c>
      <c r="J532" s="400" t="s">
        <v>22</v>
      </c>
      <c r="K532" s="328" t="s">
        <v>20</v>
      </c>
      <c r="L532" s="329" t="s">
        <v>95</v>
      </c>
      <c r="M532" s="291" t="s">
        <v>1190</v>
      </c>
      <c r="N532" s="401"/>
      <c r="O532" s="447" t="s">
        <v>25</v>
      </c>
      <c r="P532" s="439" t="s">
        <v>1191</v>
      </c>
      <c r="Q532" s="414" t="s">
        <v>1330</v>
      </c>
    </row>
    <row r="533" hidden="1">
      <c r="A533" s="324">
        <v>1339.0</v>
      </c>
      <c r="B533" s="324">
        <v>1339.0</v>
      </c>
      <c r="C533" s="418">
        <v>251.0</v>
      </c>
      <c r="D533" s="418">
        <f>IFERROR(__xludf.DUMMYFUNCTION("if(B533&lt;=999,if(B533&lt;=99,IF(B533&lt;=9,join(,""000"",B533),join(,""00"",B533)),join(,""0"",B533)),B533)"),1339.0)</f>
        <v>1339</v>
      </c>
      <c r="E533" s="417" t="s">
        <v>1192</v>
      </c>
      <c r="F533" s="418" t="s">
        <v>20</v>
      </c>
      <c r="G533" s="418" t="str">
        <f t="shared" si="122"/>
        <v>#REF!</v>
      </c>
      <c r="H533" s="419" t="s">
        <v>21</v>
      </c>
      <c r="I533" s="418" t="str">
        <f t="shared" si="121"/>
        <v>#REF!</v>
      </c>
      <c r="J533" s="420" t="s">
        <v>101</v>
      </c>
      <c r="K533" s="421" t="s">
        <v>20</v>
      </c>
      <c r="L533" s="422" t="s">
        <v>95</v>
      </c>
      <c r="M533" s="443" t="s">
        <v>1193</v>
      </c>
      <c r="N533" s="422" t="s">
        <v>1194</v>
      </c>
      <c r="O533" s="444" t="s">
        <v>25</v>
      </c>
      <c r="P533" s="444" t="s">
        <v>55</v>
      </c>
      <c r="Q533" s="423" t="s">
        <v>1330</v>
      </c>
    </row>
    <row r="534" hidden="1">
      <c r="A534" s="51">
        <v>1338.0</v>
      </c>
      <c r="B534" s="51">
        <v>1338.0</v>
      </c>
      <c r="C534" s="298">
        <v>252.0</v>
      </c>
      <c r="D534" s="289">
        <f>IFERROR(__xludf.DUMMYFUNCTION("if(B534&lt;=999,if(B534&lt;=99,IF(B534&lt;=9,join(,""000"",B534),join(,""00"",B534)),join(,""0"",B534)),B534)"),1338.0)</f>
        <v>1338</v>
      </c>
      <c r="E534" s="301" t="s">
        <v>1195</v>
      </c>
      <c r="F534" s="325" t="s">
        <v>20</v>
      </c>
      <c r="G534" s="260" t="str">
        <f t="shared" si="122"/>
        <v>#REF!</v>
      </c>
      <c r="H534" s="408" t="s">
        <v>21</v>
      </c>
      <c r="I534" s="289" t="str">
        <f t="shared" si="121"/>
        <v>#REF!</v>
      </c>
      <c r="J534" s="413" t="s">
        <v>101</v>
      </c>
      <c r="K534" s="328" t="s">
        <v>20</v>
      </c>
      <c r="L534" s="329" t="s">
        <v>95</v>
      </c>
      <c r="M534" s="329" t="s">
        <v>1841</v>
      </c>
      <c r="N534" s="401">
        <v>6036.0</v>
      </c>
      <c r="O534" s="329" t="s">
        <v>25</v>
      </c>
      <c r="P534" s="329" t="s">
        <v>86</v>
      </c>
      <c r="Q534" s="414" t="s">
        <v>1330</v>
      </c>
    </row>
    <row r="535" hidden="1">
      <c r="A535" s="33">
        <v>115.0</v>
      </c>
      <c r="B535" s="34">
        <v>115.0</v>
      </c>
      <c r="C535" s="289"/>
      <c r="D535" s="289" t="str">
        <f>IFERROR(__xludf.DUMMYFUNCTION("if(B535&lt;=999,if(B535&lt;=99,IF(B535&lt;=9,join(,""000"",B535),join(,""00"",B535)),join(,""0"",B535)),B535)"),"0115")</f>
        <v>0115</v>
      </c>
      <c r="E535" s="297" t="s">
        <v>1196</v>
      </c>
      <c r="F535" s="289" t="s">
        <v>20</v>
      </c>
      <c r="G535" s="260" t="str">
        <f t="shared" si="122"/>
        <v>#REF!</v>
      </c>
      <c r="H535" s="399" t="s">
        <v>21</v>
      </c>
      <c r="I535" s="289" t="str">
        <f t="shared" si="121"/>
        <v>#REF!</v>
      </c>
      <c r="J535" s="400" t="s">
        <v>22</v>
      </c>
      <c r="K535" s="290" t="s">
        <v>20</v>
      </c>
      <c r="L535" s="401" t="s">
        <v>95</v>
      </c>
      <c r="M535" s="401" t="s">
        <v>1842</v>
      </c>
      <c r="N535" s="401">
        <v>16.0</v>
      </c>
      <c r="O535" s="401" t="s">
        <v>25</v>
      </c>
      <c r="P535" s="401" t="s">
        <v>55</v>
      </c>
      <c r="Q535" s="402" t="s">
        <v>1330</v>
      </c>
    </row>
    <row r="536" hidden="1">
      <c r="A536" s="33">
        <v>1351.0</v>
      </c>
      <c r="B536" s="34">
        <v>1351.0</v>
      </c>
      <c r="C536" s="289"/>
      <c r="D536" s="289">
        <f>IFERROR(__xludf.DUMMYFUNCTION("if(B536&lt;=999,if(B536&lt;=99,IF(B536&lt;=9,join(,""000"",B536),join(,""00"",B536)),join(,""0"",B536)),B536)"),1351.0)</f>
        <v>1351</v>
      </c>
      <c r="E536" s="297" t="s">
        <v>1197</v>
      </c>
      <c r="F536" s="289" t="s">
        <v>20</v>
      </c>
      <c r="G536" s="260" t="s">
        <v>1843</v>
      </c>
      <c r="H536" s="399" t="s">
        <v>21</v>
      </c>
      <c r="I536" s="289">
        <v>9.412151327E9</v>
      </c>
      <c r="J536" s="400" t="s">
        <v>1198</v>
      </c>
      <c r="K536" s="290" t="s">
        <v>20</v>
      </c>
      <c r="L536" s="401" t="s">
        <v>1844</v>
      </c>
      <c r="M536" s="401" t="s">
        <v>1845</v>
      </c>
      <c r="N536" s="401" t="s">
        <v>1199</v>
      </c>
      <c r="O536" s="401" t="s">
        <v>25</v>
      </c>
      <c r="P536" s="401" t="s">
        <v>1846</v>
      </c>
      <c r="Q536" s="402" t="s">
        <v>1330</v>
      </c>
    </row>
    <row r="537" hidden="1">
      <c r="A537" s="51">
        <v>1231.0</v>
      </c>
      <c r="B537" s="51">
        <v>1231.0</v>
      </c>
      <c r="C537" s="289">
        <v>253.0</v>
      </c>
      <c r="D537" s="289">
        <f>IFERROR(__xludf.DUMMYFUNCTION("if(B537&lt;=999,if(B537&lt;=99,IF(B537&lt;=9,join(,""000"",B537),join(,""00"",B537)),join(,""0"",B537)),B537)"),1231.0)</f>
        <v>1231</v>
      </c>
      <c r="E537" s="301" t="s">
        <v>1200</v>
      </c>
      <c r="F537" s="325" t="s">
        <v>20</v>
      </c>
      <c r="G537" s="289" t="str">
        <f>VLOOKUP(D537,'Copy of Form Responses; CCTV Infra 1'!$G$2:$I$675,2,false)</f>
        <v>#REF!</v>
      </c>
      <c r="H537" s="408" t="s">
        <v>21</v>
      </c>
      <c r="I537" s="289" t="str">
        <f>VLOOKUP(D537,'Copy of Form Responses; CCTV Infra 1'!$G$2:$I$675,3,false)</f>
        <v>#REF!</v>
      </c>
      <c r="J537" s="413" t="s">
        <v>101</v>
      </c>
      <c r="K537" s="328" t="s">
        <v>20</v>
      </c>
      <c r="L537" s="401" t="s">
        <v>1844</v>
      </c>
      <c r="M537" s="401" t="s">
        <v>1845</v>
      </c>
      <c r="N537" s="401" t="s">
        <v>1199</v>
      </c>
      <c r="O537" s="401" t="s">
        <v>25</v>
      </c>
      <c r="P537" s="401" t="s">
        <v>1846</v>
      </c>
      <c r="Q537" s="402" t="s">
        <v>1330</v>
      </c>
    </row>
    <row r="538" hidden="1">
      <c r="A538" s="33">
        <v>1319.0</v>
      </c>
      <c r="B538" s="34">
        <v>1319.0</v>
      </c>
      <c r="C538" s="289">
        <v>254.0</v>
      </c>
      <c r="D538" s="289">
        <f>IFERROR(__xludf.DUMMYFUNCTION("if(B538&lt;=999,if(B538&lt;=99,IF(B538&lt;=9,join(,""000"",B538),join(,""00"",B538)),join(,""0"",B538)),B538)"),1319.0)</f>
        <v>1319</v>
      </c>
      <c r="E538" s="296" t="s">
        <v>1201</v>
      </c>
      <c r="F538" s="289" t="s">
        <v>20</v>
      </c>
      <c r="G538" s="289" t="s">
        <v>1847</v>
      </c>
      <c r="H538" s="399" t="s">
        <v>21</v>
      </c>
      <c r="I538" s="289">
        <v>9.690667724E9</v>
      </c>
      <c r="J538" s="400" t="s">
        <v>1697</v>
      </c>
      <c r="K538" s="290" t="s">
        <v>20</v>
      </c>
      <c r="L538" s="401" t="s">
        <v>95</v>
      </c>
      <c r="M538" s="401" t="s">
        <v>1848</v>
      </c>
      <c r="N538" s="401" t="e">
        <v>#N/A</v>
      </c>
      <c r="O538" s="401" t="s">
        <v>25</v>
      </c>
      <c r="P538" s="401" t="s">
        <v>163</v>
      </c>
      <c r="Q538" s="414" t="s">
        <v>1330</v>
      </c>
    </row>
    <row r="539" hidden="1">
      <c r="A539" s="51">
        <v>1434.0</v>
      </c>
      <c r="B539" s="51">
        <v>1434.0</v>
      </c>
      <c r="C539" s="289"/>
      <c r="D539" s="289">
        <f>IFERROR(__xludf.DUMMYFUNCTION("if(B539&lt;=999,if(B539&lt;=99,IF(B539&lt;=9,join(,""000"",B539),join(,""00"",B539)),join(,""0"",B539)),B539)"),1434.0)</f>
        <v>1434</v>
      </c>
      <c r="E539" s="326" t="s">
        <v>1202</v>
      </c>
      <c r="F539" s="325" t="s">
        <v>20</v>
      </c>
      <c r="G539" s="260" t="str">
        <f>VLOOKUP(D539,'Copy of Form Responses; CCTV Infra 1'!$G$2:$I$675,2,false)</f>
        <v>#REF!</v>
      </c>
      <c r="H539" s="408" t="s">
        <v>21</v>
      </c>
      <c r="I539" s="289" t="str">
        <f>VLOOKUP(D539,'Copy of Form Responses; CCTV Infra 1'!$G$2:$I$675,3,false)</f>
        <v>#REF!</v>
      </c>
      <c r="J539" s="413" t="s">
        <v>101</v>
      </c>
      <c r="K539" s="328" t="s">
        <v>20</v>
      </c>
      <c r="L539" s="329" t="s">
        <v>95</v>
      </c>
      <c r="M539" s="329" t="s">
        <v>1849</v>
      </c>
      <c r="N539" s="401"/>
      <c r="O539" s="329" t="s">
        <v>25</v>
      </c>
      <c r="P539" s="329" t="s">
        <v>256</v>
      </c>
      <c r="Q539" s="414" t="s">
        <v>1330</v>
      </c>
    </row>
    <row r="540" hidden="1">
      <c r="A540" s="324">
        <v>1201.0</v>
      </c>
      <c r="B540" s="324">
        <v>1201.0</v>
      </c>
      <c r="C540" s="418"/>
      <c r="D540" s="418">
        <f>IFERROR(__xludf.DUMMYFUNCTION("if(B540&lt;=999,if(B540&lt;=99,IF(B540&lt;=9,join(,""000"",B540),join(,""00"",B540)),join(,""0"",B540)),B540)"),1201.0)</f>
        <v>1201</v>
      </c>
      <c r="E540" s="442" t="s">
        <v>1203</v>
      </c>
      <c r="F540" s="418" t="s">
        <v>20</v>
      </c>
      <c r="G540" s="515" t="s">
        <v>1847</v>
      </c>
      <c r="H540" s="419" t="s">
        <v>21</v>
      </c>
      <c r="I540" s="515">
        <v>7.351504439E9</v>
      </c>
      <c r="J540" s="420" t="s">
        <v>101</v>
      </c>
      <c r="K540" s="421" t="s">
        <v>20</v>
      </c>
      <c r="L540" s="422" t="s">
        <v>95</v>
      </c>
      <c r="M540" s="422" t="s">
        <v>1849</v>
      </c>
      <c r="N540" s="422"/>
      <c r="O540" s="422" t="s">
        <v>25</v>
      </c>
      <c r="P540" s="422" t="s">
        <v>256</v>
      </c>
      <c r="Q540" s="423" t="s">
        <v>1330</v>
      </c>
    </row>
    <row r="541" hidden="1">
      <c r="A541" s="51">
        <v>463.0</v>
      </c>
      <c r="B541" s="51">
        <v>463.0</v>
      </c>
      <c r="C541" s="289"/>
      <c r="D541" s="289" t="str">
        <f>IFERROR(__xludf.DUMMYFUNCTION("if(B541&lt;=999,if(B541&lt;=99,IF(B541&lt;=9,join(,""000"",B541),join(,""00"",B541)),join(,""0"",B541)),B541)"),"0463")</f>
        <v>0463</v>
      </c>
      <c r="E541" s="326" t="s">
        <v>1204</v>
      </c>
      <c r="F541" s="325" t="s">
        <v>20</v>
      </c>
      <c r="G541" s="260" t="str">
        <f t="shared" ref="G541:G552" si="123">VLOOKUP(D541,'Copy of Form Responses; CCTV Infra 1'!$G$2:$I$675,2,false)</f>
        <v>#REF!</v>
      </c>
      <c r="H541" s="408" t="s">
        <v>21</v>
      </c>
      <c r="I541" s="289" t="str">
        <f t="shared" ref="I541:I552" si="124">VLOOKUP(D541,'Copy of Form Responses; CCTV Infra 1'!$G$2:$I$675,3,false)</f>
        <v>#REF!</v>
      </c>
      <c r="J541" s="400" t="s">
        <v>77</v>
      </c>
      <c r="K541" s="328" t="s">
        <v>20</v>
      </c>
      <c r="L541" s="329" t="s">
        <v>95</v>
      </c>
      <c r="M541" s="329" t="s">
        <v>1850</v>
      </c>
      <c r="N541" s="401">
        <v>16.0</v>
      </c>
      <c r="O541" s="329" t="s">
        <v>25</v>
      </c>
      <c r="P541" s="329" t="s">
        <v>55</v>
      </c>
      <c r="Q541" s="414" t="s">
        <v>1330</v>
      </c>
    </row>
    <row r="542" hidden="1">
      <c r="A542" s="51">
        <v>1196.0</v>
      </c>
      <c r="B542" s="51">
        <v>1196.0</v>
      </c>
      <c r="C542" s="289"/>
      <c r="D542" s="289">
        <f>IFERROR(__xludf.DUMMYFUNCTION("if(B542&lt;=999,if(B542&lt;=99,IF(B542&lt;=9,join(,""000"",B542),join(,""00"",B542)),join(,""0"",B542)),B542)"),1196.0)</f>
        <v>1196</v>
      </c>
      <c r="E542" s="326" t="s">
        <v>1205</v>
      </c>
      <c r="F542" s="325" t="s">
        <v>20</v>
      </c>
      <c r="G542" s="260" t="str">
        <f t="shared" si="123"/>
        <v>#REF!</v>
      </c>
      <c r="H542" s="408" t="s">
        <v>21</v>
      </c>
      <c r="I542" s="289" t="str">
        <f t="shared" si="124"/>
        <v>#REF!</v>
      </c>
      <c r="J542" s="400" t="s">
        <v>34</v>
      </c>
      <c r="K542" s="328" t="s">
        <v>20</v>
      </c>
      <c r="L542" s="329" t="s">
        <v>95</v>
      </c>
      <c r="M542" s="329" t="s">
        <v>1851</v>
      </c>
      <c r="N542" s="401">
        <v>16.0</v>
      </c>
      <c r="O542" s="329" t="s">
        <v>25</v>
      </c>
      <c r="P542" s="329" t="s">
        <v>55</v>
      </c>
      <c r="Q542" s="414" t="s">
        <v>1330</v>
      </c>
    </row>
    <row r="543" hidden="1">
      <c r="A543" s="33">
        <v>22.0</v>
      </c>
      <c r="B543" s="34">
        <v>22.0</v>
      </c>
      <c r="C543" s="289">
        <v>255.0</v>
      </c>
      <c r="D543" s="289" t="str">
        <f>IFERROR(__xludf.DUMMYFUNCTION("if(B543&lt;=999,if(B543&lt;=99,IF(B543&lt;=9,join(,""000"",B543),join(,""00"",B543)),join(,""0"",B543)),B543)"),"0022")</f>
        <v>0022</v>
      </c>
      <c r="E543" s="296" t="s">
        <v>1206</v>
      </c>
      <c r="F543" s="289" t="s">
        <v>20</v>
      </c>
      <c r="G543" s="289" t="str">
        <f t="shared" si="123"/>
        <v>#REF!</v>
      </c>
      <c r="H543" s="399" t="s">
        <v>21</v>
      </c>
      <c r="I543" s="289" t="str">
        <f t="shared" si="124"/>
        <v>#REF!</v>
      </c>
      <c r="J543" s="400" t="s">
        <v>77</v>
      </c>
      <c r="K543" s="290" t="s">
        <v>20</v>
      </c>
      <c r="L543" s="401" t="s">
        <v>137</v>
      </c>
      <c r="M543" s="401" t="s">
        <v>1207</v>
      </c>
      <c r="N543" s="401">
        <v>16.0</v>
      </c>
      <c r="O543" s="401" t="s">
        <v>25</v>
      </c>
      <c r="P543" s="401" t="s">
        <v>606</v>
      </c>
      <c r="Q543" s="414" t="s">
        <v>1330</v>
      </c>
    </row>
    <row r="544" hidden="1">
      <c r="A544" s="51">
        <v>1407.0</v>
      </c>
      <c r="B544" s="51">
        <v>1407.0</v>
      </c>
      <c r="C544" s="289">
        <v>256.0</v>
      </c>
      <c r="D544" s="289">
        <f>IFERROR(__xludf.DUMMYFUNCTION("if(B544&lt;=999,if(B544&lt;=99,IF(B544&lt;=9,join(,""000"",B544),join(,""00"",B544)),join(,""0"",B544)),B544)"),1407.0)</f>
        <v>1407</v>
      </c>
      <c r="E544" s="301" t="s">
        <v>1208</v>
      </c>
      <c r="F544" s="325" t="s">
        <v>20</v>
      </c>
      <c r="G544" s="260" t="str">
        <f t="shared" si="123"/>
        <v>#REF!</v>
      </c>
      <c r="H544" s="408" t="s">
        <v>21</v>
      </c>
      <c r="I544" s="289" t="str">
        <f t="shared" si="124"/>
        <v>#REF!</v>
      </c>
      <c r="J544" s="400" t="s">
        <v>22</v>
      </c>
      <c r="K544" s="328" t="s">
        <v>20</v>
      </c>
      <c r="L544" s="329" t="s">
        <v>137</v>
      </c>
      <c r="M544" s="329" t="s">
        <v>1852</v>
      </c>
      <c r="N544" s="401">
        <v>80.0</v>
      </c>
      <c r="O544" s="329" t="s">
        <v>288</v>
      </c>
      <c r="P544" s="329" t="s">
        <v>1853</v>
      </c>
      <c r="Q544" s="414" t="s">
        <v>1330</v>
      </c>
    </row>
    <row r="545" hidden="1">
      <c r="A545" s="33">
        <v>234.0</v>
      </c>
      <c r="B545" s="34">
        <v>234.0</v>
      </c>
      <c r="C545" s="289"/>
      <c r="D545" s="289" t="str">
        <f>IFERROR(__xludf.DUMMYFUNCTION("if(B545&lt;=999,if(B545&lt;=99,IF(B545&lt;=9,join(,""000"",B545),join(,""00"",B545)),join(,""0"",B545)),B545)"),"0234")</f>
        <v>0234</v>
      </c>
      <c r="E545" s="297" t="s">
        <v>793</v>
      </c>
      <c r="F545" s="289" t="s">
        <v>20</v>
      </c>
      <c r="G545" s="289" t="str">
        <f t="shared" si="123"/>
        <v>#REF!</v>
      </c>
      <c r="H545" s="399" t="s">
        <v>21</v>
      </c>
      <c r="I545" s="289" t="str">
        <f t="shared" si="124"/>
        <v>#REF!</v>
      </c>
      <c r="J545" s="400" t="s">
        <v>77</v>
      </c>
      <c r="K545" s="290" t="s">
        <v>20</v>
      </c>
      <c r="L545" s="438" t="s">
        <v>381</v>
      </c>
      <c r="M545" s="401" t="s">
        <v>1854</v>
      </c>
      <c r="N545" s="401" t="s">
        <v>794</v>
      </c>
      <c r="O545" s="329" t="s">
        <v>25</v>
      </c>
      <c r="P545" s="401" t="s">
        <v>1855</v>
      </c>
      <c r="Q545" s="414" t="s">
        <v>1330</v>
      </c>
    </row>
    <row r="546" hidden="1">
      <c r="A546" s="55">
        <v>529.0</v>
      </c>
      <c r="B546" s="55">
        <v>529.0</v>
      </c>
      <c r="C546" s="298"/>
      <c r="D546" s="298" t="str">
        <f>IFERROR(__xludf.DUMMYFUNCTION("if(B546&lt;=999,if(B546&lt;=99,IF(B546&lt;=9,join(,""000"",B546),join(,""00"",B546)),join(,""0"",B546)),B546)"),"0529")</f>
        <v>0529</v>
      </c>
      <c r="E546" s="457" t="s">
        <v>1211</v>
      </c>
      <c r="F546" s="426" t="s">
        <v>20</v>
      </c>
      <c r="G546" s="298" t="str">
        <f t="shared" si="123"/>
        <v>#REF!</v>
      </c>
      <c r="H546" s="426" t="s">
        <v>21</v>
      </c>
      <c r="I546" s="298" t="str">
        <f t="shared" si="124"/>
        <v>#REF!</v>
      </c>
      <c r="J546" s="490" t="s">
        <v>101</v>
      </c>
      <c r="K546" s="427" t="s">
        <v>20</v>
      </c>
      <c r="L546" s="414" t="s">
        <v>1844</v>
      </c>
      <c r="M546" s="414" t="s">
        <v>1856</v>
      </c>
      <c r="N546" s="407">
        <v>5000.0</v>
      </c>
      <c r="O546" s="414" t="s">
        <v>25</v>
      </c>
      <c r="P546" s="414" t="s">
        <v>55</v>
      </c>
      <c r="Q546" s="402" t="s">
        <v>1330</v>
      </c>
    </row>
    <row r="547" hidden="1">
      <c r="A547" s="55">
        <v>235.0</v>
      </c>
      <c r="B547" s="55">
        <v>235.0</v>
      </c>
      <c r="C547" s="298">
        <v>257.0</v>
      </c>
      <c r="D547" s="298" t="str">
        <f>IFERROR(__xludf.DUMMYFUNCTION("if(B547&lt;=999,if(B547&lt;=99,IF(B547&lt;=9,join(,""000"",B547),join(,""00"",B547)),join(,""0"",B547)),B547)"),"0235")</f>
        <v>0235</v>
      </c>
      <c r="E547" s="425" t="s">
        <v>1213</v>
      </c>
      <c r="F547" s="426" t="s">
        <v>20</v>
      </c>
      <c r="G547" s="298" t="str">
        <f t="shared" si="123"/>
        <v>#REF!</v>
      </c>
      <c r="H547" s="426" t="s">
        <v>21</v>
      </c>
      <c r="I547" s="298" t="str">
        <f t="shared" si="124"/>
        <v>#REF!</v>
      </c>
      <c r="J547" s="490" t="s">
        <v>101</v>
      </c>
      <c r="K547" s="427" t="s">
        <v>20</v>
      </c>
      <c r="L547" s="414" t="s">
        <v>355</v>
      </c>
      <c r="M547" s="414" t="s">
        <v>566</v>
      </c>
      <c r="N547" s="407" t="s">
        <v>1214</v>
      </c>
      <c r="O547" s="414" t="s">
        <v>25</v>
      </c>
      <c r="P547" s="414" t="s">
        <v>163</v>
      </c>
      <c r="Q547" s="414" t="s">
        <v>1330</v>
      </c>
    </row>
    <row r="548">
      <c r="A548" s="33">
        <v>1045.0</v>
      </c>
      <c r="B548" s="34">
        <v>1045.0</v>
      </c>
      <c r="C548" s="260">
        <v>73.0</v>
      </c>
      <c r="D548" s="260">
        <f>IFERROR(__xludf.DUMMYFUNCTION("if(B548&lt;=999,if(B548&lt;=99,IF(B548&lt;=9,join(,""000"",B548),join(,""00"",B548)),join(,""0"",B548)),B548)"),1045.0)</f>
        <v>1045</v>
      </c>
      <c r="E548" s="270" t="s">
        <v>1215</v>
      </c>
      <c r="F548" s="260" t="s">
        <v>35</v>
      </c>
      <c r="G548" s="260" t="str">
        <f t="shared" si="123"/>
        <v>#REF!</v>
      </c>
      <c r="H548" s="410" t="s">
        <v>21</v>
      </c>
      <c r="I548" s="260" t="str">
        <f t="shared" si="124"/>
        <v>#REF!</v>
      </c>
      <c r="J548" s="264"/>
      <c r="K548" s="411" t="str">
        <f>vlookup(D548,'Elligible Training Institutes R'!$D$9:$L$19,9,false)</f>
        <v>#N/A</v>
      </c>
      <c r="L548" s="401"/>
      <c r="M548" s="401"/>
      <c r="N548" s="401" t="e">
        <v>#N/A</v>
      </c>
      <c r="O548" s="401"/>
      <c r="P548" s="401"/>
      <c r="Q548" s="412" t="s">
        <v>1423</v>
      </c>
    </row>
    <row r="549" hidden="1">
      <c r="A549" s="55">
        <v>1145.0</v>
      </c>
      <c r="B549" s="55">
        <v>1145.0</v>
      </c>
      <c r="C549" s="298"/>
      <c r="D549" s="298">
        <f>IFERROR(__xludf.DUMMYFUNCTION("if(B549&lt;=999,if(B549&lt;=99,IF(B549&lt;=9,join(,""000"",B549),join(,""00"",B549)),join(,""0"",B549)),B549)"),1145.0)</f>
        <v>1145</v>
      </c>
      <c r="E549" s="457" t="s">
        <v>1216</v>
      </c>
      <c r="F549" s="426" t="s">
        <v>20</v>
      </c>
      <c r="G549" s="298" t="str">
        <f t="shared" si="123"/>
        <v>#REF!</v>
      </c>
      <c r="H549" s="426" t="s">
        <v>21</v>
      </c>
      <c r="I549" s="298" t="str">
        <f t="shared" si="124"/>
        <v>#REF!</v>
      </c>
      <c r="J549" s="405" t="s">
        <v>77</v>
      </c>
      <c r="K549" s="427" t="s">
        <v>20</v>
      </c>
      <c r="L549" s="414" t="s">
        <v>95</v>
      </c>
      <c r="M549" s="516" t="s">
        <v>1857</v>
      </c>
      <c r="N549" s="407">
        <v>36666.0</v>
      </c>
      <c r="O549" s="414" t="s">
        <v>25</v>
      </c>
      <c r="P549" s="414" t="s">
        <v>55</v>
      </c>
      <c r="Q549" s="414" t="s">
        <v>1330</v>
      </c>
    </row>
    <row r="550" hidden="1">
      <c r="A550" s="33">
        <v>1040.0</v>
      </c>
      <c r="B550" s="34">
        <v>1040.0</v>
      </c>
      <c r="C550" s="289"/>
      <c r="D550" s="289">
        <f>IFERROR(__xludf.DUMMYFUNCTION("if(B550&lt;=999,if(B550&lt;=99,IF(B550&lt;=9,join(,""000"",B550),join(,""00"",B550)),join(,""0"",B550)),B550)"),1040.0)</f>
        <v>1040</v>
      </c>
      <c r="E550" s="297" t="s">
        <v>1218</v>
      </c>
      <c r="F550" s="289" t="s">
        <v>20</v>
      </c>
      <c r="G550" s="260" t="str">
        <f t="shared" si="123"/>
        <v>#REF!</v>
      </c>
      <c r="H550" s="399" t="s">
        <v>21</v>
      </c>
      <c r="I550" s="289" t="str">
        <f t="shared" si="124"/>
        <v>#REF!</v>
      </c>
      <c r="J550" s="400" t="s">
        <v>101</v>
      </c>
      <c r="K550" s="290" t="s">
        <v>20</v>
      </c>
      <c r="L550" s="401" t="s">
        <v>95</v>
      </c>
      <c r="M550" s="401" t="s">
        <v>1858</v>
      </c>
      <c r="N550" s="401">
        <v>91.0</v>
      </c>
      <c r="O550" s="401" t="s">
        <v>25</v>
      </c>
      <c r="P550" s="401" t="s">
        <v>1859</v>
      </c>
      <c r="Q550" s="414" t="s">
        <v>1330</v>
      </c>
    </row>
    <row r="551" hidden="1">
      <c r="A551" s="51">
        <v>78.0</v>
      </c>
      <c r="B551" s="51">
        <v>78.0</v>
      </c>
      <c r="C551" s="289"/>
      <c r="D551" s="289" t="str">
        <f>IFERROR(__xludf.DUMMYFUNCTION("if(B551&lt;=999,if(B551&lt;=99,IF(B551&lt;=9,join(,""000"",B551),join(,""00"",B551)),join(,""0"",B551)),B551)"),"0078")</f>
        <v>0078</v>
      </c>
      <c r="E551" s="326" t="s">
        <v>1048</v>
      </c>
      <c r="F551" s="325" t="s">
        <v>20</v>
      </c>
      <c r="G551" s="289" t="str">
        <f t="shared" si="123"/>
        <v>#REF!</v>
      </c>
      <c r="H551" s="408" t="s">
        <v>21</v>
      </c>
      <c r="I551" s="289" t="str">
        <f t="shared" si="124"/>
        <v>#REF!</v>
      </c>
      <c r="J551" s="400" t="s">
        <v>22</v>
      </c>
      <c r="K551" s="328" t="s">
        <v>20</v>
      </c>
      <c r="L551" s="329" t="s">
        <v>95</v>
      </c>
      <c r="M551" s="291" t="s">
        <v>1049</v>
      </c>
      <c r="N551" s="401" t="e">
        <v>#N/A</v>
      </c>
      <c r="O551" s="439" t="s">
        <v>25</v>
      </c>
      <c r="P551" s="439" t="s">
        <v>256</v>
      </c>
      <c r="Q551" s="414" t="s">
        <v>1330</v>
      </c>
    </row>
    <row r="552" hidden="1">
      <c r="A552" s="51">
        <v>1448.0</v>
      </c>
      <c r="B552" s="51">
        <v>1448.0</v>
      </c>
      <c r="C552" s="289">
        <v>258.0</v>
      </c>
      <c r="D552" s="289">
        <f>IFERROR(__xludf.DUMMYFUNCTION("if(B552&lt;=999,if(B552&lt;=99,IF(B552&lt;=9,join(,""000"",B552),join(,""00"",B552)),join(,""0"",B552)),B552)"),1448.0)</f>
        <v>1448</v>
      </c>
      <c r="E552" s="301" t="s">
        <v>1221</v>
      </c>
      <c r="F552" s="325" t="s">
        <v>20</v>
      </c>
      <c r="G552" s="260" t="str">
        <f t="shared" si="123"/>
        <v>#REF!</v>
      </c>
      <c r="H552" s="408" t="s">
        <v>21</v>
      </c>
      <c r="I552" s="289" t="str">
        <f t="shared" si="124"/>
        <v>#REF!</v>
      </c>
      <c r="J552" s="400" t="s">
        <v>22</v>
      </c>
      <c r="K552" s="328" t="s">
        <v>20</v>
      </c>
      <c r="L552" s="329" t="s">
        <v>23</v>
      </c>
      <c r="M552" s="461" t="s">
        <v>1860</v>
      </c>
      <c r="N552" s="401">
        <v>81.0</v>
      </c>
      <c r="O552" s="329" t="s">
        <v>25</v>
      </c>
      <c r="P552" s="329" t="s">
        <v>55</v>
      </c>
      <c r="Q552" s="414" t="s">
        <v>1330</v>
      </c>
    </row>
    <row r="553" hidden="1">
      <c r="A553" s="55">
        <v>230.0</v>
      </c>
      <c r="B553" s="55">
        <v>230.0</v>
      </c>
      <c r="C553" s="298"/>
      <c r="D553" s="298" t="str">
        <f>IFERROR(__xludf.DUMMYFUNCTION("if(B553&lt;=999,if(B553&lt;=99,IF(B553&lt;=9,join(,""000"",B553),join(,""00"",B553)),join(,""0"",B553)),B553)"),"0230")</f>
        <v>0230</v>
      </c>
      <c r="E553" s="457" t="s">
        <v>1222</v>
      </c>
      <c r="F553" s="426" t="s">
        <v>20</v>
      </c>
      <c r="G553" s="298" t="s">
        <v>1861</v>
      </c>
      <c r="H553" s="426" t="s">
        <v>21</v>
      </c>
      <c r="I553" s="298">
        <v>7.007961554E9</v>
      </c>
      <c r="J553" s="490" t="s">
        <v>63</v>
      </c>
      <c r="K553" s="427" t="s">
        <v>20</v>
      </c>
      <c r="L553" s="428" t="s">
        <v>1223</v>
      </c>
      <c r="M553" s="428" t="s">
        <v>1224</v>
      </c>
      <c r="N553" s="407" t="e">
        <v>#N/A</v>
      </c>
      <c r="O553" s="429" t="s">
        <v>25</v>
      </c>
      <c r="P553" s="429" t="s">
        <v>1225</v>
      </c>
      <c r="Q553" s="414" t="s">
        <v>1330</v>
      </c>
    </row>
    <row r="554" hidden="1">
      <c r="A554" s="51">
        <v>635.0</v>
      </c>
      <c r="B554" s="51">
        <v>635.0</v>
      </c>
      <c r="C554" s="289">
        <v>259.0</v>
      </c>
      <c r="D554" s="289" t="str">
        <f>IFERROR(__xludf.DUMMYFUNCTION("if(B554&lt;=999,if(B554&lt;=99,IF(B554&lt;=9,join(,""000"",B554),join(,""00"",B554)),join(,""0"",B554)),B554)"),"0635")</f>
        <v>0635</v>
      </c>
      <c r="E554" s="301" t="s">
        <v>1226</v>
      </c>
      <c r="F554" s="325" t="s">
        <v>20</v>
      </c>
      <c r="G554" s="289" t="str">
        <f t="shared" ref="G554:G565" si="125">VLOOKUP(D554,'Copy of Form Responses; CCTV Infra 1'!$G$2:$I$675,2,false)</f>
        <v>#REF!</v>
      </c>
      <c r="H554" s="408" t="s">
        <v>21</v>
      </c>
      <c r="I554" s="289" t="str">
        <f t="shared" ref="I554:I565" si="126">VLOOKUP(D554,'Copy of Form Responses; CCTV Infra 1'!$G$2:$I$675,3,false)</f>
        <v>#REF!</v>
      </c>
      <c r="J554" s="413" t="s">
        <v>34</v>
      </c>
      <c r="K554" s="328" t="s">
        <v>20</v>
      </c>
      <c r="L554" s="266" t="s">
        <v>28</v>
      </c>
      <c r="M554" s="291" t="s">
        <v>1227</v>
      </c>
      <c r="N554" s="401">
        <v>91.0</v>
      </c>
      <c r="O554" s="266" t="s">
        <v>1228</v>
      </c>
      <c r="P554" s="291" t="s">
        <v>1229</v>
      </c>
      <c r="Q554" s="414" t="s">
        <v>1330</v>
      </c>
    </row>
    <row r="555" hidden="1">
      <c r="A555" s="55">
        <v>1357.0</v>
      </c>
      <c r="B555" s="55">
        <v>1357.0</v>
      </c>
      <c r="C555" s="298">
        <v>260.0</v>
      </c>
      <c r="D555" s="298">
        <f>IFERROR(__xludf.DUMMYFUNCTION("if(B555&lt;=999,if(B555&lt;=99,IF(B555&lt;=9,join(,""000"",B555),join(,""00"",B555)),join(,""0"",B555)),B555)"),1357.0)</f>
        <v>1357</v>
      </c>
      <c r="E555" s="425" t="s">
        <v>1230</v>
      </c>
      <c r="F555" s="426" t="s">
        <v>20</v>
      </c>
      <c r="G555" s="298" t="str">
        <f t="shared" si="125"/>
        <v>#REF!</v>
      </c>
      <c r="H555" s="426" t="s">
        <v>21</v>
      </c>
      <c r="I555" s="298" t="str">
        <f t="shared" si="126"/>
        <v>#REF!</v>
      </c>
      <c r="J555" s="405" t="s">
        <v>99</v>
      </c>
      <c r="K555" s="427" t="s">
        <v>20</v>
      </c>
      <c r="L555" s="316" t="s">
        <v>95</v>
      </c>
      <c r="M555" s="429" t="s">
        <v>1231</v>
      </c>
      <c r="N555" s="407">
        <v>16.0</v>
      </c>
      <c r="O555" s="316" t="s">
        <v>25</v>
      </c>
      <c r="P555" s="428" t="s">
        <v>1232</v>
      </c>
      <c r="Q555" s="414" t="s">
        <v>1330</v>
      </c>
    </row>
    <row r="556">
      <c r="A556" s="33">
        <v>350.0</v>
      </c>
      <c r="B556" s="34">
        <v>350.0</v>
      </c>
      <c r="C556" s="260">
        <v>74.0</v>
      </c>
      <c r="D556" s="260" t="str">
        <f>IFERROR(__xludf.DUMMYFUNCTION("if(B556&lt;=999,if(B556&lt;=99,IF(B556&lt;=9,join(,""000"",B556),join(,""00"",B556)),join(,""0"",B556)),B556)"),"0350")</f>
        <v>0350</v>
      </c>
      <c r="E556" s="270" t="s">
        <v>1233</v>
      </c>
      <c r="F556" s="260" t="s">
        <v>35</v>
      </c>
      <c r="G556" s="260" t="str">
        <f t="shared" si="125"/>
        <v>#REF!</v>
      </c>
      <c r="H556" s="410" t="s">
        <v>21</v>
      </c>
      <c r="I556" s="260" t="str">
        <f t="shared" si="126"/>
        <v>#REF!</v>
      </c>
      <c r="J556" s="264"/>
      <c r="K556" s="411" t="str">
        <f>vlookup(D556,'Elligible Training Institutes R'!$D$9:$L$19,9,false)</f>
        <v>#N/A</v>
      </c>
      <c r="L556" s="401"/>
      <c r="M556" s="401"/>
      <c r="N556" s="401" t="e">
        <v>#N/A</v>
      </c>
      <c r="O556" s="401"/>
      <c r="P556" s="401"/>
      <c r="Q556" s="412" t="s">
        <v>1423</v>
      </c>
    </row>
    <row r="557" hidden="1">
      <c r="A557" s="51">
        <v>955.0</v>
      </c>
      <c r="B557" s="51">
        <v>955.0</v>
      </c>
      <c r="C557" s="289"/>
      <c r="D557" s="289" t="str">
        <f>IFERROR(__xludf.DUMMYFUNCTION("if(B557&lt;=999,if(B557&lt;=99,IF(B557&lt;=9,join(,""000"",B557),join(,""00"",B557)),join(,""0"",B557)),B557)"),"0955")</f>
        <v>0955</v>
      </c>
      <c r="E557" s="326" t="s">
        <v>1234</v>
      </c>
      <c r="F557" s="325" t="s">
        <v>20</v>
      </c>
      <c r="G557" s="260" t="str">
        <f t="shared" si="125"/>
        <v>#REF!</v>
      </c>
      <c r="H557" s="408" t="s">
        <v>21</v>
      </c>
      <c r="I557" s="289" t="str">
        <f t="shared" si="126"/>
        <v>#REF!</v>
      </c>
      <c r="J557" s="413" t="s">
        <v>34</v>
      </c>
      <c r="K557" s="328" t="s">
        <v>20</v>
      </c>
      <c r="L557" s="329" t="s">
        <v>23</v>
      </c>
      <c r="M557" s="329" t="s">
        <v>1862</v>
      </c>
      <c r="N557" s="401"/>
      <c r="O557" s="329" t="s">
        <v>25</v>
      </c>
      <c r="P557" s="329" t="s">
        <v>26</v>
      </c>
      <c r="Q557" s="414" t="s">
        <v>1330</v>
      </c>
    </row>
    <row r="558" hidden="1">
      <c r="A558" s="51">
        <v>1278.0</v>
      </c>
      <c r="B558" s="51">
        <v>1278.0</v>
      </c>
      <c r="C558" s="289">
        <v>261.0</v>
      </c>
      <c r="D558" s="289">
        <f>IFERROR(__xludf.DUMMYFUNCTION("if(B558&lt;=999,if(B558&lt;=99,IF(B558&lt;=9,join(,""000"",B558),join(,""00"",B558)),join(,""0"",B558)),B558)"),1278.0)</f>
        <v>1278</v>
      </c>
      <c r="E558" s="301" t="s">
        <v>1236</v>
      </c>
      <c r="F558" s="325" t="s">
        <v>20</v>
      </c>
      <c r="G558" s="289" t="str">
        <f t="shared" si="125"/>
        <v>#REF!</v>
      </c>
      <c r="H558" s="408" t="s">
        <v>21</v>
      </c>
      <c r="I558" s="289" t="str">
        <f t="shared" si="126"/>
        <v>#REF!</v>
      </c>
      <c r="J558" s="400" t="s">
        <v>34</v>
      </c>
      <c r="K558" s="328" t="s">
        <v>20</v>
      </c>
      <c r="L558" s="329" t="s">
        <v>23</v>
      </c>
      <c r="M558" s="291" t="s">
        <v>1237</v>
      </c>
      <c r="N558" s="401" t="s">
        <v>1238</v>
      </c>
      <c r="O558" s="439" t="s">
        <v>25</v>
      </c>
      <c r="P558" s="439" t="s">
        <v>26</v>
      </c>
      <c r="Q558" s="414" t="s">
        <v>1330</v>
      </c>
    </row>
    <row r="559" hidden="1">
      <c r="A559" s="55">
        <v>1261.0</v>
      </c>
      <c r="B559" s="55">
        <v>1261.0</v>
      </c>
      <c r="C559" s="289">
        <v>262.0</v>
      </c>
      <c r="D559" s="298">
        <f>IFERROR(__xludf.DUMMYFUNCTION("if(B559&lt;=999,if(B559&lt;=99,IF(B559&lt;=9,join(,""000"",B559),join(,""00"",B559)),join(,""0"",B559)),B559)"),1261.0)</f>
        <v>1261</v>
      </c>
      <c r="E559" s="425" t="s">
        <v>1239</v>
      </c>
      <c r="F559" s="426" t="s">
        <v>20</v>
      </c>
      <c r="G559" s="298" t="str">
        <f t="shared" si="125"/>
        <v>#REF!</v>
      </c>
      <c r="H559" s="426" t="s">
        <v>21</v>
      </c>
      <c r="I559" s="298" t="str">
        <f t="shared" si="126"/>
        <v>#REF!</v>
      </c>
      <c r="J559" s="490" t="s">
        <v>73</v>
      </c>
      <c r="K559" s="427" t="s">
        <v>20</v>
      </c>
      <c r="L559" s="407" t="s">
        <v>95</v>
      </c>
      <c r="M559" s="428" t="s">
        <v>676</v>
      </c>
      <c r="N559" s="407">
        <v>25001.0</v>
      </c>
      <c r="O559" s="429" t="s">
        <v>677</v>
      </c>
      <c r="P559" s="429" t="s">
        <v>678</v>
      </c>
      <c r="Q559" s="414" t="s">
        <v>1330</v>
      </c>
    </row>
    <row r="560" hidden="1">
      <c r="A560" s="51">
        <v>1259.0</v>
      </c>
      <c r="B560" s="51">
        <v>1259.0</v>
      </c>
      <c r="C560" s="289"/>
      <c r="D560" s="289">
        <f>IFERROR(__xludf.DUMMYFUNCTION("if(B560&lt;=999,if(B560&lt;=99,IF(B560&lt;=9,join(,""000"",B560),join(,""00"",B560)),join(,""0"",B560)),B560)"),1259.0)</f>
        <v>1259</v>
      </c>
      <c r="E560" s="326" t="s">
        <v>1240</v>
      </c>
      <c r="F560" s="325" t="s">
        <v>20</v>
      </c>
      <c r="G560" s="289" t="str">
        <f t="shared" si="125"/>
        <v>#REF!</v>
      </c>
      <c r="H560" s="408" t="s">
        <v>21</v>
      </c>
      <c r="I560" s="289" t="str">
        <f t="shared" si="126"/>
        <v>#REF!</v>
      </c>
      <c r="J560" s="413"/>
      <c r="K560" s="328" t="s">
        <v>20</v>
      </c>
      <c r="L560" s="329" t="s">
        <v>28</v>
      </c>
      <c r="M560" s="329" t="s">
        <v>891</v>
      </c>
      <c r="N560" s="401" t="e">
        <v>#N/A</v>
      </c>
      <c r="O560" s="329" t="s">
        <v>104</v>
      </c>
      <c r="P560" s="329" t="s">
        <v>893</v>
      </c>
      <c r="Q560" s="414" t="s">
        <v>1330</v>
      </c>
    </row>
    <row r="561" hidden="1">
      <c r="A561" s="51">
        <v>1321.0</v>
      </c>
      <c r="B561" s="51">
        <v>1321.0</v>
      </c>
      <c r="C561" s="289"/>
      <c r="D561" s="289">
        <f>IFERROR(__xludf.DUMMYFUNCTION("if(B561&lt;=999,if(B561&lt;=99,IF(B561&lt;=9,join(,""000"",B561),join(,""00"",B561)),join(,""0"",B561)),B561)"),1321.0)</f>
        <v>1321</v>
      </c>
      <c r="E561" s="326" t="s">
        <v>1241</v>
      </c>
      <c r="F561" s="325" t="s">
        <v>20</v>
      </c>
      <c r="G561" s="289" t="str">
        <f t="shared" si="125"/>
        <v>#REF!</v>
      </c>
      <c r="H561" s="408" t="s">
        <v>21</v>
      </c>
      <c r="I561" s="289" t="str">
        <f t="shared" si="126"/>
        <v>#REF!</v>
      </c>
      <c r="J561" s="400" t="s">
        <v>77</v>
      </c>
      <c r="K561" s="328" t="s">
        <v>20</v>
      </c>
      <c r="L561" s="438" t="s">
        <v>1242</v>
      </c>
      <c r="M561" s="438" t="s">
        <v>1863</v>
      </c>
      <c r="N561" s="401" t="s">
        <v>1244</v>
      </c>
      <c r="O561" s="438" t="s">
        <v>25</v>
      </c>
      <c r="P561" s="438" t="s">
        <v>86</v>
      </c>
      <c r="Q561" s="414" t="s">
        <v>1330</v>
      </c>
    </row>
    <row r="562" hidden="1">
      <c r="A562" s="51">
        <v>252.0</v>
      </c>
      <c r="B562" s="51">
        <v>252.0</v>
      </c>
      <c r="C562" s="298">
        <v>263.0</v>
      </c>
      <c r="D562" s="289" t="str">
        <f>IFERROR(__xludf.DUMMYFUNCTION("if(B562&lt;=999,if(B562&lt;=99,IF(B562&lt;=9,join(,""000"",B562),join(,""00"",B562)),join(,""0"",B562)),B562)"),"0252")</f>
        <v>0252</v>
      </c>
      <c r="E562" s="301" t="s">
        <v>1246</v>
      </c>
      <c r="F562" s="325" t="s">
        <v>20</v>
      </c>
      <c r="G562" s="289" t="str">
        <f t="shared" si="125"/>
        <v>#REF!</v>
      </c>
      <c r="H562" s="408" t="s">
        <v>21</v>
      </c>
      <c r="I562" s="289" t="str">
        <f t="shared" si="126"/>
        <v>#REF!</v>
      </c>
      <c r="J562" s="413" t="s">
        <v>34</v>
      </c>
      <c r="K562" s="328" t="s">
        <v>20</v>
      </c>
      <c r="L562" s="329" t="s">
        <v>1247</v>
      </c>
      <c r="M562" s="329" t="s">
        <v>1248</v>
      </c>
      <c r="N562" s="401">
        <v>8081.0</v>
      </c>
      <c r="O562" s="329" t="s">
        <v>25</v>
      </c>
      <c r="P562" s="329" t="s">
        <v>86</v>
      </c>
      <c r="Q562" s="414" t="s">
        <v>1330</v>
      </c>
    </row>
    <row r="563" hidden="1">
      <c r="A563" s="51">
        <v>633.0</v>
      </c>
      <c r="B563" s="51">
        <v>633.0</v>
      </c>
      <c r="C563" s="289"/>
      <c r="D563" s="289" t="str">
        <f>IFERROR(__xludf.DUMMYFUNCTION("if(B563&lt;=999,if(B563&lt;=99,IF(B563&lt;=9,join(,""000"",B563),join(,""00"",B563)),join(,""0"",B563)),B563)"),"0633")</f>
        <v>0633</v>
      </c>
      <c r="E563" s="326" t="s">
        <v>1249</v>
      </c>
      <c r="F563" s="325" t="s">
        <v>20</v>
      </c>
      <c r="G563" s="260" t="str">
        <f t="shared" si="125"/>
        <v>#REF!</v>
      </c>
      <c r="H563" s="408" t="s">
        <v>21</v>
      </c>
      <c r="I563" s="289" t="str">
        <f t="shared" si="126"/>
        <v>#REF!</v>
      </c>
      <c r="J563" s="400" t="s">
        <v>22</v>
      </c>
      <c r="K563" s="328" t="s">
        <v>20</v>
      </c>
      <c r="L563" s="329" t="s">
        <v>28</v>
      </c>
      <c r="M563" s="329" t="s">
        <v>1864</v>
      </c>
      <c r="N563" s="401"/>
      <c r="O563" s="329" t="s">
        <v>25</v>
      </c>
      <c r="P563" s="329" t="s">
        <v>86</v>
      </c>
      <c r="Q563" s="414" t="s">
        <v>1330</v>
      </c>
    </row>
    <row r="564" hidden="1">
      <c r="A564" s="51">
        <v>1150.0</v>
      </c>
      <c r="B564" s="51">
        <v>1150.0</v>
      </c>
      <c r="C564" s="289"/>
      <c r="D564" s="289">
        <f>IFERROR(__xludf.DUMMYFUNCTION("if(B564&lt;=999,if(B564&lt;=99,IF(B564&lt;=9,join(,""000"",B564),join(,""00"",B564)),join(,""0"",B564)),B564)"),1150.0)</f>
        <v>1150</v>
      </c>
      <c r="E564" s="326" t="s">
        <v>1251</v>
      </c>
      <c r="F564" s="325" t="s">
        <v>20</v>
      </c>
      <c r="G564" s="289" t="str">
        <f t="shared" si="125"/>
        <v>#REF!</v>
      </c>
      <c r="H564" s="408" t="s">
        <v>21</v>
      </c>
      <c r="I564" s="289" t="str">
        <f t="shared" si="126"/>
        <v>#REF!</v>
      </c>
      <c r="J564" s="413" t="s">
        <v>101</v>
      </c>
      <c r="K564" s="328" t="s">
        <v>20</v>
      </c>
      <c r="L564" s="329" t="s">
        <v>95</v>
      </c>
      <c r="M564" s="329" t="s">
        <v>1865</v>
      </c>
      <c r="N564" s="401">
        <v>7000.0</v>
      </c>
      <c r="O564" s="329" t="s">
        <v>1866</v>
      </c>
      <c r="P564" s="329" t="s">
        <v>1867</v>
      </c>
      <c r="Q564" s="414" t="s">
        <v>1330</v>
      </c>
    </row>
    <row r="565" hidden="1">
      <c r="A565" s="51">
        <v>1147.0</v>
      </c>
      <c r="B565" s="51">
        <v>1147.0</v>
      </c>
      <c r="C565" s="289">
        <v>264.0</v>
      </c>
      <c r="D565" s="289">
        <f>IFERROR(__xludf.DUMMYFUNCTION("if(B565&lt;=999,if(B565&lt;=99,IF(B565&lt;=9,join(,""000"",B565),join(,""00"",B565)),join(,""0"",B565)),B565)"),1147.0)</f>
        <v>1147</v>
      </c>
      <c r="E565" s="301" t="s">
        <v>1252</v>
      </c>
      <c r="F565" s="325" t="s">
        <v>20</v>
      </c>
      <c r="G565" s="289" t="str">
        <f t="shared" si="125"/>
        <v>#REF!</v>
      </c>
      <c r="H565" s="408" t="s">
        <v>21</v>
      </c>
      <c r="I565" s="289" t="str">
        <f t="shared" si="126"/>
        <v>#REF!</v>
      </c>
      <c r="J565" s="400" t="s">
        <v>73</v>
      </c>
      <c r="K565" s="328" t="s">
        <v>20</v>
      </c>
      <c r="L565" s="329" t="s">
        <v>95</v>
      </c>
      <c r="M565" s="291" t="s">
        <v>1253</v>
      </c>
      <c r="N565" s="401">
        <v>25001.0</v>
      </c>
      <c r="O565" s="439" t="s">
        <v>25</v>
      </c>
      <c r="P565" s="439" t="s">
        <v>86</v>
      </c>
      <c r="Q565" s="414" t="s">
        <v>1330</v>
      </c>
    </row>
    <row r="566" hidden="1">
      <c r="A566" s="51">
        <v>1243.0</v>
      </c>
      <c r="B566" s="51">
        <v>1243.0</v>
      </c>
      <c r="C566" s="289">
        <v>265.0</v>
      </c>
      <c r="D566" s="289">
        <f>IFERROR(__xludf.DUMMYFUNCTION("if(B566&lt;=999,if(B566&lt;=99,IF(B566&lt;=9,join(,""000"",B566),join(,""00"",B566)),join(,""0"",B566)),B566)"),1243.0)</f>
        <v>1243</v>
      </c>
      <c r="E566" s="301" t="s">
        <v>1254</v>
      </c>
      <c r="F566" s="325" t="s">
        <v>20</v>
      </c>
      <c r="G566" s="289" t="s">
        <v>1868</v>
      </c>
      <c r="H566" s="408" t="s">
        <v>21</v>
      </c>
      <c r="I566" s="289">
        <v>8.077271175E9</v>
      </c>
      <c r="J566" s="413" t="s">
        <v>1478</v>
      </c>
      <c r="K566" s="328" t="s">
        <v>20</v>
      </c>
      <c r="L566" s="329" t="s">
        <v>330</v>
      </c>
      <c r="M566" s="329" t="s">
        <v>1869</v>
      </c>
      <c r="N566" s="401" t="s">
        <v>1258</v>
      </c>
      <c r="O566" s="329" t="s">
        <v>25</v>
      </c>
      <c r="P566" s="329" t="s">
        <v>1870</v>
      </c>
      <c r="Q566" s="414" t="s">
        <v>1330</v>
      </c>
    </row>
    <row r="567" hidden="1">
      <c r="A567" s="324">
        <v>268.0</v>
      </c>
      <c r="B567" s="415">
        <v>268.0</v>
      </c>
      <c r="C567" s="416">
        <v>266.0</v>
      </c>
      <c r="D567" s="418" t="str">
        <f>IFERROR(__xludf.DUMMYFUNCTION("if(B567&lt;=999,if(B567&lt;=99,IF(B567&lt;=9,join(,""000"",B567),join(,""00"",B567)),join(,""0"",B567)),B567)"),"0268")</f>
        <v>0268</v>
      </c>
      <c r="E567" s="417" t="s">
        <v>1255</v>
      </c>
      <c r="F567" s="418" t="s">
        <v>20</v>
      </c>
      <c r="G567" s="418" t="s">
        <v>1868</v>
      </c>
      <c r="H567" s="419" t="s">
        <v>21</v>
      </c>
      <c r="I567" s="418">
        <v>8.077271175E9</v>
      </c>
      <c r="J567" s="517" t="s">
        <v>1478</v>
      </c>
      <c r="K567" s="421" t="s">
        <v>20</v>
      </c>
      <c r="L567" s="422" t="s">
        <v>330</v>
      </c>
      <c r="M567" s="422" t="s">
        <v>1869</v>
      </c>
      <c r="N567" s="422" t="s">
        <v>1258</v>
      </c>
      <c r="O567" s="422" t="s">
        <v>25</v>
      </c>
      <c r="P567" s="422" t="s">
        <v>1870</v>
      </c>
      <c r="Q567" s="423" t="s">
        <v>1330</v>
      </c>
    </row>
    <row r="568" hidden="1">
      <c r="A568" s="324">
        <v>282.0</v>
      </c>
      <c r="B568" s="324">
        <v>282.0</v>
      </c>
      <c r="C568" s="418">
        <v>267.0</v>
      </c>
      <c r="D568" s="418" t="str">
        <f>IFERROR(__xludf.DUMMYFUNCTION("if(B568&lt;=999,if(B568&lt;=99,IF(B568&lt;=9,join(,""000"",B568),join(,""00"",B568)),join(,""0"",B568)),B568)"),"0282")</f>
        <v>0282</v>
      </c>
      <c r="E568" s="417" t="s">
        <v>1256</v>
      </c>
      <c r="F568" s="418" t="s">
        <v>20</v>
      </c>
      <c r="G568" s="418" t="s">
        <v>1868</v>
      </c>
      <c r="H568" s="419" t="s">
        <v>21</v>
      </c>
      <c r="I568" s="418">
        <v>8.077271175E9</v>
      </c>
      <c r="J568" s="517" t="s">
        <v>1478</v>
      </c>
      <c r="K568" s="421" t="s">
        <v>20</v>
      </c>
      <c r="L568" s="422" t="s">
        <v>330</v>
      </c>
      <c r="M568" s="422" t="s">
        <v>1869</v>
      </c>
      <c r="N568" s="422" t="s">
        <v>1258</v>
      </c>
      <c r="O568" s="422" t="s">
        <v>25</v>
      </c>
      <c r="P568" s="422" t="s">
        <v>1870</v>
      </c>
      <c r="Q568" s="423" t="s">
        <v>1330</v>
      </c>
    </row>
    <row r="569" hidden="1">
      <c r="A569" s="324">
        <v>678.0</v>
      </c>
      <c r="B569" s="324">
        <v>678.0</v>
      </c>
      <c r="C569" s="418">
        <v>268.0</v>
      </c>
      <c r="D569" s="418" t="str">
        <f>IFERROR(__xludf.DUMMYFUNCTION("if(B569&lt;=999,if(B569&lt;=99,IF(B569&lt;=9,join(,""000"",B569),join(,""00"",B569)),join(,""0"",B569)),B569)"),"0678")</f>
        <v>0678</v>
      </c>
      <c r="E569" s="417" t="s">
        <v>1257</v>
      </c>
      <c r="F569" s="418" t="s">
        <v>20</v>
      </c>
      <c r="G569" s="418" t="str">
        <f t="shared" ref="G569:G570" si="127">VLOOKUP(D569,'Copy of Form Responses; CCTV Infra 1'!$G$2:$I$675,2,false)</f>
        <v>#REF!</v>
      </c>
      <c r="H569" s="419" t="s">
        <v>21</v>
      </c>
      <c r="I569" s="418" t="str">
        <f t="shared" ref="I569:I570" si="128">VLOOKUP(D569,'Copy of Form Responses; CCTV Infra 1'!$G$2:$I$675,3,false)</f>
        <v>#REF!</v>
      </c>
      <c r="J569" s="420" t="s">
        <v>77</v>
      </c>
      <c r="K569" s="421" t="s">
        <v>20</v>
      </c>
      <c r="L569" s="422" t="s">
        <v>330</v>
      </c>
      <c r="M569" s="422" t="s">
        <v>1869</v>
      </c>
      <c r="N569" s="422" t="s">
        <v>1258</v>
      </c>
      <c r="O569" s="422" t="s">
        <v>25</v>
      </c>
      <c r="P569" s="422" t="s">
        <v>1870</v>
      </c>
      <c r="Q569" s="423" t="s">
        <v>1330</v>
      </c>
    </row>
    <row r="570" hidden="1">
      <c r="A570" s="51">
        <v>30.0</v>
      </c>
      <c r="B570" s="51">
        <v>30.0</v>
      </c>
      <c r="C570" s="298">
        <v>269.0</v>
      </c>
      <c r="D570" s="289" t="str">
        <f>IFERROR(__xludf.DUMMYFUNCTION("if(B570&lt;=999,if(B570&lt;=99,IF(B570&lt;=9,join(,""000"",B570),join(,""00"",B570)),join(,""0"",B570)),B570)"),"0030")</f>
        <v>0030</v>
      </c>
      <c r="E570" s="301" t="s">
        <v>1259</v>
      </c>
      <c r="F570" s="325" t="s">
        <v>20</v>
      </c>
      <c r="G570" s="289" t="str">
        <f t="shared" si="127"/>
        <v>#REF!</v>
      </c>
      <c r="H570" s="408" t="s">
        <v>21</v>
      </c>
      <c r="I570" s="289" t="str">
        <f t="shared" si="128"/>
        <v>#REF!</v>
      </c>
      <c r="J570" s="413" t="s">
        <v>1697</v>
      </c>
      <c r="K570" s="328" t="s">
        <v>20</v>
      </c>
      <c r="L570" s="329" t="s">
        <v>330</v>
      </c>
      <c r="M570" s="329" t="s">
        <v>1871</v>
      </c>
      <c r="N570" s="401">
        <v>25001.0</v>
      </c>
      <c r="O570" s="329" t="s">
        <v>25</v>
      </c>
      <c r="P570" s="329" t="s">
        <v>55</v>
      </c>
      <c r="Q570" s="414" t="s">
        <v>1330</v>
      </c>
    </row>
    <row r="571" hidden="1">
      <c r="A571" s="51">
        <v>343.0</v>
      </c>
      <c r="B571" s="51">
        <v>343.0</v>
      </c>
      <c r="C571" s="289"/>
      <c r="D571" s="289" t="str">
        <f>IFERROR(__xludf.DUMMYFUNCTION("if(B571&lt;=999,if(B571&lt;=99,IF(B571&lt;=9,join(,""000"",B571),join(,""00"",B571)),join(,""0"",B571)),B571)"),"0343")</f>
        <v>0343</v>
      </c>
      <c r="E571" s="326" t="s">
        <v>1260</v>
      </c>
      <c r="F571" s="325" t="s">
        <v>20</v>
      </c>
      <c r="G571" s="289" t="s">
        <v>1872</v>
      </c>
      <c r="H571" s="408" t="s">
        <v>21</v>
      </c>
      <c r="I571" s="289">
        <v>6.389305008E9</v>
      </c>
      <c r="J571" s="413" t="s">
        <v>101</v>
      </c>
      <c r="K571" s="328" t="s">
        <v>20</v>
      </c>
      <c r="L571" s="329" t="s">
        <v>254</v>
      </c>
      <c r="M571" s="329" t="s">
        <v>1873</v>
      </c>
      <c r="N571" s="401">
        <v>16.0</v>
      </c>
      <c r="O571" s="329" t="s">
        <v>25</v>
      </c>
      <c r="P571" s="329" t="s">
        <v>1874</v>
      </c>
      <c r="Q571" s="414" t="s">
        <v>1330</v>
      </c>
    </row>
    <row r="572" hidden="1">
      <c r="A572" s="51">
        <v>1420.0</v>
      </c>
      <c r="B572" s="51">
        <v>1420.0</v>
      </c>
      <c r="C572" s="289"/>
      <c r="D572" s="289">
        <f>IFERROR(__xludf.DUMMYFUNCTION("if(B572&lt;=999,if(B572&lt;=99,IF(B572&lt;=9,join(,""000"",B572),join(,""00"",B572)),join(,""0"",B572)),B572)"),1420.0)</f>
        <v>1420</v>
      </c>
      <c r="E572" s="326" t="s">
        <v>1261</v>
      </c>
      <c r="F572" s="325" t="s">
        <v>20</v>
      </c>
      <c r="G572" s="260" t="str">
        <f t="shared" ref="G572:G574" si="129">VLOOKUP(D572,'Copy of Form Responses; CCTV Infra 1'!$G$2:$I$675,2,false)</f>
        <v>#REF!</v>
      </c>
      <c r="H572" s="408" t="s">
        <v>21</v>
      </c>
      <c r="I572" s="289" t="str">
        <f t="shared" ref="I572:I574" si="130">VLOOKUP(D572,'Copy of Form Responses; CCTV Infra 1'!$G$2:$I$675,3,false)</f>
        <v>#REF!</v>
      </c>
      <c r="J572" s="400" t="s">
        <v>1697</v>
      </c>
      <c r="K572" s="328" t="s">
        <v>20</v>
      </c>
      <c r="L572" s="329" t="s">
        <v>330</v>
      </c>
      <c r="M572" s="329" t="s">
        <v>1875</v>
      </c>
      <c r="N572" s="401">
        <v>32.0</v>
      </c>
      <c r="O572" s="329" t="s">
        <v>25</v>
      </c>
      <c r="P572" s="329" t="s">
        <v>86</v>
      </c>
      <c r="Q572" s="414" t="s">
        <v>1330</v>
      </c>
    </row>
    <row r="573" hidden="1">
      <c r="A573" s="33">
        <v>1408.0</v>
      </c>
      <c r="B573" s="34">
        <v>1408.0</v>
      </c>
      <c r="C573" s="289"/>
      <c r="D573" s="289">
        <f>IFERROR(__xludf.DUMMYFUNCTION("if(B573&lt;=999,if(B573&lt;=99,IF(B573&lt;=9,join(,""000"",B573),join(,""00"",B573)),join(,""0"",B573)),B573)"),1408.0)</f>
        <v>1408</v>
      </c>
      <c r="E573" s="297" t="s">
        <v>1262</v>
      </c>
      <c r="F573" s="289" t="s">
        <v>20</v>
      </c>
      <c r="G573" s="260" t="str">
        <f t="shared" si="129"/>
        <v>#REF!</v>
      </c>
      <c r="H573" s="399" t="s">
        <v>21</v>
      </c>
      <c r="I573" s="289" t="str">
        <f t="shared" si="130"/>
        <v>#REF!</v>
      </c>
      <c r="J573" s="400" t="s">
        <v>1621</v>
      </c>
      <c r="K573" s="290" t="s">
        <v>20</v>
      </c>
      <c r="L573" s="401" t="s">
        <v>95</v>
      </c>
      <c r="M573" s="401" t="s">
        <v>1876</v>
      </c>
      <c r="N573" s="401">
        <v>8.0</v>
      </c>
      <c r="O573" s="401" t="s">
        <v>104</v>
      </c>
      <c r="P573" s="401" t="s">
        <v>1791</v>
      </c>
      <c r="Q573" s="414" t="s">
        <v>1330</v>
      </c>
    </row>
    <row r="574">
      <c r="A574" s="33">
        <v>246.0</v>
      </c>
      <c r="B574" s="34">
        <v>246.0</v>
      </c>
      <c r="C574" s="260">
        <v>75.0</v>
      </c>
      <c r="D574" s="260" t="str">
        <f>IFERROR(__xludf.DUMMYFUNCTION("if(B574&lt;=999,if(B574&lt;=99,IF(B574&lt;=9,join(,""000"",B574),join(,""00"",B574)),join(,""0"",B574)),B574)"),"0246")</f>
        <v>0246</v>
      </c>
      <c r="E574" s="270" t="s">
        <v>1263</v>
      </c>
      <c r="F574" s="260" t="s">
        <v>20</v>
      </c>
      <c r="G574" s="260" t="str">
        <f t="shared" si="129"/>
        <v>#REF!</v>
      </c>
      <c r="H574" s="410" t="s">
        <v>21</v>
      </c>
      <c r="I574" s="260" t="str">
        <f t="shared" si="130"/>
        <v>#REF!</v>
      </c>
      <c r="J574" s="264" t="s">
        <v>101</v>
      </c>
      <c r="K574" s="411" t="str">
        <f>vlookup(D574,'Elligible Training Institutes R'!$D$9:$L$19,9,false)</f>
        <v>#N/A</v>
      </c>
      <c r="L574" s="401"/>
      <c r="M574" s="401"/>
      <c r="N574" s="401">
        <v>80.0</v>
      </c>
      <c r="O574" s="401"/>
      <c r="P574" s="401"/>
      <c r="Q574" s="441" t="s">
        <v>43</v>
      </c>
    </row>
    <row r="575" hidden="1">
      <c r="A575" s="51">
        <v>1089.0</v>
      </c>
      <c r="B575" s="51">
        <v>1089.0</v>
      </c>
      <c r="C575" s="289">
        <v>270.0</v>
      </c>
      <c r="D575" s="289">
        <f>IFERROR(__xludf.DUMMYFUNCTION("if(B575&lt;=999,if(B575&lt;=99,IF(B575&lt;=9,join(,""000"",B575),join(,""00"",B575)),join(,""0"",B575)),B575)"),1089.0)</f>
        <v>1089</v>
      </c>
      <c r="E575" s="301" t="s">
        <v>1264</v>
      </c>
      <c r="F575" s="325" t="s">
        <v>20</v>
      </c>
      <c r="G575" s="289" t="s">
        <v>1877</v>
      </c>
      <c r="H575" s="408" t="s">
        <v>21</v>
      </c>
      <c r="I575" s="289">
        <v>8.736909362E9</v>
      </c>
      <c r="J575" s="413"/>
      <c r="K575" s="328" t="s">
        <v>20</v>
      </c>
      <c r="L575" s="329"/>
      <c r="M575" s="329" t="s">
        <v>1265</v>
      </c>
      <c r="N575" s="401" t="e">
        <v>#N/A</v>
      </c>
      <c r="O575" s="329" t="s">
        <v>25</v>
      </c>
      <c r="P575" s="329" t="s">
        <v>86</v>
      </c>
      <c r="Q575" s="414" t="s">
        <v>1330</v>
      </c>
    </row>
    <row r="576" hidden="1">
      <c r="A576" s="51">
        <v>1119.0</v>
      </c>
      <c r="B576" s="51">
        <v>1119.0</v>
      </c>
      <c r="C576" s="289">
        <v>271.0</v>
      </c>
      <c r="D576" s="289">
        <f>IFERROR(__xludf.DUMMYFUNCTION("if(B576&lt;=999,if(B576&lt;=99,IF(B576&lt;=9,join(,""000"",B576),join(,""00"",B576)),join(,""0"",B576)),B576)"),1119.0)</f>
        <v>1119</v>
      </c>
      <c r="E576" s="301" t="s">
        <v>1266</v>
      </c>
      <c r="F576" s="325" t="s">
        <v>20</v>
      </c>
      <c r="G576" s="289" t="str">
        <f t="shared" ref="G576:G578" si="131">VLOOKUP(D576,'Copy of Form Responses; CCTV Infra 1'!$G$2:$I$675,2,false)</f>
        <v>#REF!</v>
      </c>
      <c r="H576" s="408" t="s">
        <v>21</v>
      </c>
      <c r="I576" s="289" t="str">
        <f t="shared" ref="I576:I578" si="132">VLOOKUP(D576,'Copy of Form Responses; CCTV Infra 1'!$G$2:$I$675,3,false)</f>
        <v>#REF!</v>
      </c>
      <c r="J576" s="413" t="s">
        <v>34</v>
      </c>
      <c r="K576" s="328" t="s">
        <v>20</v>
      </c>
      <c r="L576" s="329"/>
      <c r="M576" s="329" t="s">
        <v>1265</v>
      </c>
      <c r="N576" s="401">
        <v>25001.0</v>
      </c>
      <c r="O576" s="329" t="s">
        <v>25</v>
      </c>
      <c r="P576" s="329" t="s">
        <v>86</v>
      </c>
      <c r="Q576" s="414" t="s">
        <v>1330</v>
      </c>
    </row>
    <row r="577" hidden="1">
      <c r="A577" s="55">
        <v>1235.0</v>
      </c>
      <c r="B577" s="55">
        <v>1235.0</v>
      </c>
      <c r="C577" s="298"/>
      <c r="D577" s="298">
        <f>IFERROR(__xludf.DUMMYFUNCTION("if(B577&lt;=999,if(B577&lt;=99,IF(B577&lt;=9,join(,""000"",B577),join(,""00"",B577)),join(,""0"",B577)),B577)"),1235.0)</f>
        <v>1235</v>
      </c>
      <c r="E577" s="457" t="s">
        <v>1267</v>
      </c>
      <c r="F577" s="426" t="s">
        <v>20</v>
      </c>
      <c r="G577" s="298" t="str">
        <f t="shared" si="131"/>
        <v>#REF!</v>
      </c>
      <c r="H577" s="426" t="s">
        <v>21</v>
      </c>
      <c r="I577" s="298" t="str">
        <f t="shared" si="132"/>
        <v>#REF!</v>
      </c>
      <c r="J577" s="405" t="s">
        <v>77</v>
      </c>
      <c r="K577" s="427" t="s">
        <v>20</v>
      </c>
      <c r="L577" s="414" t="s">
        <v>95</v>
      </c>
      <c r="M577" s="428" t="s">
        <v>1268</v>
      </c>
      <c r="N577" s="407" t="s">
        <v>550</v>
      </c>
      <c r="O577" s="414" t="s">
        <v>25</v>
      </c>
      <c r="P577" s="414" t="s">
        <v>86</v>
      </c>
      <c r="Q577" s="414" t="s">
        <v>1330</v>
      </c>
    </row>
    <row r="578" hidden="1">
      <c r="A578" s="51">
        <v>1272.0</v>
      </c>
      <c r="B578" s="51">
        <v>1272.0</v>
      </c>
      <c r="C578" s="298">
        <v>272.0</v>
      </c>
      <c r="D578" s="289">
        <f>IFERROR(__xludf.DUMMYFUNCTION("if(B578&lt;=999,if(B578&lt;=99,IF(B578&lt;=9,join(,""000"",B578),join(,""00"",B578)),join(,""0"",B578)),B578)"),1272.0)</f>
        <v>1272</v>
      </c>
      <c r="E578" s="301" t="s">
        <v>1269</v>
      </c>
      <c r="F578" s="325" t="s">
        <v>20</v>
      </c>
      <c r="G578" s="289" t="str">
        <f t="shared" si="131"/>
        <v>#REF!</v>
      </c>
      <c r="H578" s="408" t="s">
        <v>21</v>
      </c>
      <c r="I578" s="289" t="str">
        <f t="shared" si="132"/>
        <v>#REF!</v>
      </c>
      <c r="J578" s="413" t="s">
        <v>99</v>
      </c>
      <c r="K578" s="328" t="s">
        <v>20</v>
      </c>
      <c r="L578" s="329" t="s">
        <v>95</v>
      </c>
      <c r="M578" s="291" t="s">
        <v>1270</v>
      </c>
      <c r="N578" s="401"/>
      <c r="O578" s="439" t="s">
        <v>25</v>
      </c>
      <c r="P578" s="439" t="s">
        <v>1271</v>
      </c>
      <c r="Q578" s="414" t="s">
        <v>1330</v>
      </c>
    </row>
    <row r="579" hidden="1">
      <c r="A579" s="33">
        <v>1087.0</v>
      </c>
      <c r="B579" s="34">
        <v>1087.0</v>
      </c>
      <c r="C579" s="289">
        <v>273.0</v>
      </c>
      <c r="D579" s="289">
        <f>IFERROR(__xludf.DUMMYFUNCTION("if(B579&lt;=999,if(B579&lt;=99,IF(B579&lt;=9,join(,""000"",B579),join(,""00"",B579)),join(,""0"",B579)),B579)"),1087.0)</f>
        <v>1087</v>
      </c>
      <c r="E579" s="296" t="s">
        <v>1272</v>
      </c>
      <c r="F579" s="289" t="s">
        <v>20</v>
      </c>
      <c r="G579" s="289" t="s">
        <v>1878</v>
      </c>
      <c r="H579" s="399" t="s">
        <v>21</v>
      </c>
      <c r="I579" s="289">
        <v>7.355047774E9</v>
      </c>
      <c r="J579" s="400" t="s">
        <v>77</v>
      </c>
      <c r="K579" s="290" t="s">
        <v>20</v>
      </c>
      <c r="L579" s="401" t="s">
        <v>28</v>
      </c>
      <c r="M579" s="439" t="s">
        <v>1273</v>
      </c>
      <c r="N579" s="401" t="e">
        <v>#N/A</v>
      </c>
      <c r="O579" s="439" t="s">
        <v>25</v>
      </c>
      <c r="P579" s="439" t="s">
        <v>86</v>
      </c>
      <c r="Q579" s="414" t="s">
        <v>1330</v>
      </c>
    </row>
    <row r="580" hidden="1">
      <c r="A580" s="33">
        <v>1043.0</v>
      </c>
      <c r="B580" s="34">
        <v>1043.0</v>
      </c>
      <c r="C580" s="289">
        <v>274.0</v>
      </c>
      <c r="D580" s="289">
        <f>IFERROR(__xludf.DUMMYFUNCTION("if(B580&lt;=999,if(B580&lt;=99,IF(B580&lt;=9,join(,""000"",B580),join(,""00"",B580)),join(,""0"",B580)),B580)"),1043.0)</f>
        <v>1043</v>
      </c>
      <c r="E580" s="296" t="s">
        <v>1274</v>
      </c>
      <c r="F580" s="289" t="s">
        <v>20</v>
      </c>
      <c r="G580" s="289" t="str">
        <f t="shared" ref="G580:G593" si="133">VLOOKUP(D580,'Copy of Form Responses; CCTV Infra 1'!$G$2:$I$675,2,false)</f>
        <v>#REF!</v>
      </c>
      <c r="H580" s="399" t="s">
        <v>21</v>
      </c>
      <c r="I580" s="289" t="str">
        <f t="shared" ref="I580:I588" si="134">VLOOKUP(D580,'Copy of Form Responses; CCTV Infra 1'!$G$2:$I$675,3,false)</f>
        <v>#REF!</v>
      </c>
      <c r="J580" s="400" t="s">
        <v>101</v>
      </c>
      <c r="K580" s="265" t="s">
        <v>20</v>
      </c>
      <c r="L580" s="401" t="s">
        <v>28</v>
      </c>
      <c r="M580" s="439" t="s">
        <v>1273</v>
      </c>
      <c r="N580" s="401">
        <v>54.0</v>
      </c>
      <c r="O580" s="439" t="s">
        <v>25</v>
      </c>
      <c r="P580" s="439" t="s">
        <v>86</v>
      </c>
      <c r="Q580" s="414" t="s">
        <v>1330</v>
      </c>
    </row>
    <row r="581" hidden="1">
      <c r="A581" s="33">
        <v>369.0</v>
      </c>
      <c r="B581" s="34">
        <v>369.0</v>
      </c>
      <c r="C581" s="289"/>
      <c r="D581" s="289" t="str">
        <f>IFERROR(__xludf.DUMMYFUNCTION("if(B581&lt;=999,if(B581&lt;=99,IF(B581&lt;=9,join(,""000"",B581),join(,""00"",B581)),join(,""0"",B581)),B581)"),"0369")</f>
        <v>0369</v>
      </c>
      <c r="E581" s="297" t="s">
        <v>1275</v>
      </c>
      <c r="F581" s="289" t="s">
        <v>20</v>
      </c>
      <c r="G581" s="260" t="str">
        <f t="shared" si="133"/>
        <v>#REF!</v>
      </c>
      <c r="H581" s="399" t="s">
        <v>21</v>
      </c>
      <c r="I581" s="289" t="str">
        <f t="shared" si="134"/>
        <v>#REF!</v>
      </c>
      <c r="J581" s="400" t="s">
        <v>101</v>
      </c>
      <c r="K581" s="265" t="s">
        <v>20</v>
      </c>
      <c r="L581" s="401" t="s">
        <v>254</v>
      </c>
      <c r="M581" s="401" t="s">
        <v>1873</v>
      </c>
      <c r="N581" s="401">
        <v>16.0</v>
      </c>
      <c r="O581" s="401" t="s">
        <v>25</v>
      </c>
      <c r="P581" s="401" t="s">
        <v>1874</v>
      </c>
      <c r="Q581" s="414" t="s">
        <v>1330</v>
      </c>
    </row>
    <row r="582" hidden="1">
      <c r="A582" s="324">
        <v>410.0</v>
      </c>
      <c r="B582" s="415">
        <v>410.0</v>
      </c>
      <c r="C582" s="418"/>
      <c r="D582" s="418" t="str">
        <f>IFERROR(__xludf.DUMMYFUNCTION("if(B582&lt;=999,if(B582&lt;=99,IF(B582&lt;=9,join(,""000"",B582),join(,""00"",B582)),join(,""0"",B582)),B582)"),"0410")</f>
        <v>0410</v>
      </c>
      <c r="E582" s="442" t="s">
        <v>1050</v>
      </c>
      <c r="F582" s="418" t="s">
        <v>20</v>
      </c>
      <c r="G582" s="418" t="str">
        <f t="shared" si="133"/>
        <v>#REF!</v>
      </c>
      <c r="H582" s="419" t="s">
        <v>21</v>
      </c>
      <c r="I582" s="418" t="str">
        <f t="shared" si="134"/>
        <v>#REF!</v>
      </c>
      <c r="J582" s="420" t="s">
        <v>101</v>
      </c>
      <c r="K582" s="421" t="s">
        <v>20</v>
      </c>
      <c r="L582" s="518" t="s">
        <v>95</v>
      </c>
      <c r="M582" s="444" t="s">
        <v>1049</v>
      </c>
      <c r="N582" s="422" t="s">
        <v>1051</v>
      </c>
      <c r="O582" s="444" t="s">
        <v>25</v>
      </c>
      <c r="P582" s="444" t="s">
        <v>256</v>
      </c>
      <c r="Q582" s="423" t="s">
        <v>1330</v>
      </c>
    </row>
    <row r="583" hidden="1">
      <c r="A583" s="33">
        <v>754.0</v>
      </c>
      <c r="B583" s="34">
        <v>754.0</v>
      </c>
      <c r="C583" s="289"/>
      <c r="D583" s="289" t="str">
        <f>IFERROR(__xludf.DUMMYFUNCTION("if(B583&lt;=999,if(B583&lt;=99,IF(B583&lt;=9,join(,""000"",B583),join(,""00"",B583)),join(,""0"",B583)),B583)"),"0754")</f>
        <v>0754</v>
      </c>
      <c r="E583" s="297" t="s">
        <v>1277</v>
      </c>
      <c r="F583" s="289" t="s">
        <v>20</v>
      </c>
      <c r="G583" s="289" t="str">
        <f t="shared" si="133"/>
        <v>#REF!</v>
      </c>
      <c r="H583" s="399" t="s">
        <v>21</v>
      </c>
      <c r="I583" s="289" t="str">
        <f t="shared" si="134"/>
        <v>#REF!</v>
      </c>
      <c r="J583" s="400" t="s">
        <v>34</v>
      </c>
      <c r="K583" s="290" t="s">
        <v>20</v>
      </c>
      <c r="L583" s="401" t="s">
        <v>28</v>
      </c>
      <c r="M583" s="505" t="s">
        <v>1879</v>
      </c>
      <c r="N583" s="401" t="s">
        <v>1278</v>
      </c>
      <c r="O583" s="401" t="s">
        <v>25</v>
      </c>
      <c r="P583" s="401" t="s">
        <v>1271</v>
      </c>
      <c r="Q583" s="414" t="s">
        <v>1330</v>
      </c>
    </row>
    <row r="584" hidden="1">
      <c r="A584" s="324">
        <v>913.0</v>
      </c>
      <c r="B584" s="324">
        <v>913.0</v>
      </c>
      <c r="C584" s="416">
        <v>275.0</v>
      </c>
      <c r="D584" s="418" t="str">
        <f>IFERROR(__xludf.DUMMYFUNCTION("if(B584&lt;=999,if(B584&lt;=99,IF(B584&lt;=9,join(,""000"",B584),join(,""00"",B584)),join(,""0"",B584)),B584)"),"0913")</f>
        <v>0913</v>
      </c>
      <c r="E584" s="417" t="s">
        <v>1279</v>
      </c>
      <c r="F584" s="418" t="s">
        <v>20</v>
      </c>
      <c r="G584" s="418" t="str">
        <f t="shared" si="133"/>
        <v>#REF!</v>
      </c>
      <c r="H584" s="419" t="s">
        <v>21</v>
      </c>
      <c r="I584" s="418" t="str">
        <f t="shared" si="134"/>
        <v>#REF!</v>
      </c>
      <c r="J584" s="420" t="s">
        <v>60</v>
      </c>
      <c r="K584" s="421" t="s">
        <v>20</v>
      </c>
      <c r="L584" s="422" t="s">
        <v>360</v>
      </c>
      <c r="M584" s="422" t="s">
        <v>1280</v>
      </c>
      <c r="N584" s="422">
        <v>8000.0</v>
      </c>
      <c r="O584" s="422" t="s">
        <v>25</v>
      </c>
      <c r="P584" s="422" t="s">
        <v>1271</v>
      </c>
      <c r="Q584" s="423" t="s">
        <v>1330</v>
      </c>
    </row>
    <row r="585" hidden="1">
      <c r="A585" s="51">
        <v>670.0</v>
      </c>
      <c r="B585" s="51">
        <v>670.0</v>
      </c>
      <c r="C585" s="289"/>
      <c r="D585" s="289" t="str">
        <f>IFERROR(__xludf.DUMMYFUNCTION("if(B585&lt;=999,if(B585&lt;=99,IF(B585&lt;=9,join(,""000"",B585),join(,""00"",B585)),join(,""0"",B585)),B585)"),"0670")</f>
        <v>0670</v>
      </c>
      <c r="E585" s="326" t="s">
        <v>1281</v>
      </c>
      <c r="F585" s="325" t="s">
        <v>20</v>
      </c>
      <c r="G585" s="289" t="str">
        <f t="shared" si="133"/>
        <v>#REF!</v>
      </c>
      <c r="H585" s="408" t="s">
        <v>21</v>
      </c>
      <c r="I585" s="289" t="str">
        <f t="shared" si="134"/>
        <v>#REF!</v>
      </c>
      <c r="J585" s="400" t="s">
        <v>73</v>
      </c>
      <c r="K585" s="328" t="s">
        <v>20</v>
      </c>
      <c r="L585" s="329" t="s">
        <v>360</v>
      </c>
      <c r="M585" s="266" t="s">
        <v>1880</v>
      </c>
      <c r="N585" s="401">
        <v>3666.0</v>
      </c>
      <c r="O585" s="329" t="s">
        <v>25</v>
      </c>
      <c r="P585" s="329" t="s">
        <v>86</v>
      </c>
      <c r="Q585" s="414" t="s">
        <v>1330</v>
      </c>
    </row>
    <row r="586">
      <c r="A586" s="51">
        <v>1388.0</v>
      </c>
      <c r="B586" s="51">
        <v>1388.0</v>
      </c>
      <c r="C586" s="260">
        <v>76.0</v>
      </c>
      <c r="D586" s="260">
        <f>IFERROR(__xludf.DUMMYFUNCTION("if(B586&lt;=999,if(B586&lt;=99,IF(B586&lt;=9,join(,""000"",B586),join(,""00"",B586)),join(,""0"",B586)),B586)"),1388.0)</f>
        <v>1388</v>
      </c>
      <c r="E586" s="270" t="s">
        <v>1282</v>
      </c>
      <c r="F586" s="260" t="s">
        <v>35</v>
      </c>
      <c r="G586" s="260" t="str">
        <f t="shared" si="133"/>
        <v>#REF!</v>
      </c>
      <c r="H586" s="410" t="s">
        <v>21</v>
      </c>
      <c r="I586" s="260" t="str">
        <f t="shared" si="134"/>
        <v>#REF!</v>
      </c>
      <c r="J586" s="264"/>
      <c r="K586" s="411" t="str">
        <f>vlookup(D586,'Elligible Training Institutes R'!$D$9:$L$19,9,false)</f>
        <v>#N/A</v>
      </c>
      <c r="L586" s="329"/>
      <c r="M586" s="329"/>
      <c r="N586" s="401" t="e">
        <v>#N/A</v>
      </c>
      <c r="O586" s="329"/>
      <c r="P586" s="329"/>
      <c r="Q586" s="412" t="s">
        <v>1423</v>
      </c>
    </row>
    <row r="587" hidden="1">
      <c r="A587" s="51">
        <v>1287.0</v>
      </c>
      <c r="B587" s="51">
        <v>1287.0</v>
      </c>
      <c r="C587" s="289"/>
      <c r="D587" s="289">
        <f>IFERROR(__xludf.DUMMYFUNCTION("if(B587&lt;=999,if(B587&lt;=99,IF(B587&lt;=9,join(,""000"",B587),join(,""00"",B587)),join(,""0"",B587)),B587)"),1287.0)</f>
        <v>1287</v>
      </c>
      <c r="E587" s="326" t="s">
        <v>1283</v>
      </c>
      <c r="F587" s="325" t="s">
        <v>20</v>
      </c>
      <c r="G587" s="289" t="str">
        <f t="shared" si="133"/>
        <v>#REF!</v>
      </c>
      <c r="H587" s="408" t="s">
        <v>21</v>
      </c>
      <c r="I587" s="289" t="str">
        <f t="shared" si="134"/>
        <v>#REF!</v>
      </c>
      <c r="J587" s="400" t="s">
        <v>22</v>
      </c>
      <c r="K587" s="328" t="s">
        <v>20</v>
      </c>
      <c r="L587" s="329" t="s">
        <v>95</v>
      </c>
      <c r="M587" s="461" t="s">
        <v>1881</v>
      </c>
      <c r="N587" s="401"/>
      <c r="O587" s="329" t="s">
        <v>25</v>
      </c>
      <c r="P587" s="329" t="s">
        <v>1882</v>
      </c>
      <c r="Q587" s="414" t="s">
        <v>1330</v>
      </c>
    </row>
    <row r="588" hidden="1">
      <c r="A588" s="324">
        <v>811.0</v>
      </c>
      <c r="B588" s="415">
        <v>811.0</v>
      </c>
      <c r="C588" s="418">
        <v>276.0</v>
      </c>
      <c r="D588" s="418" t="str">
        <f>IFERROR(__xludf.DUMMYFUNCTION("if(B588&lt;=999,if(B588&lt;=99,IF(B588&lt;=9,join(,""000"",B588),join(,""00"",B588)),join(,""0"",B588)),B588)"),"0811")</f>
        <v>0811</v>
      </c>
      <c r="E588" s="417" t="s">
        <v>1285</v>
      </c>
      <c r="F588" s="418" t="s">
        <v>20</v>
      </c>
      <c r="G588" s="418" t="str">
        <f t="shared" si="133"/>
        <v>#REF!</v>
      </c>
      <c r="H588" s="419" t="s">
        <v>21</v>
      </c>
      <c r="I588" s="418" t="str">
        <f t="shared" si="134"/>
        <v>#REF!</v>
      </c>
      <c r="J588" s="420" t="s">
        <v>22</v>
      </c>
      <c r="K588" s="421" t="s">
        <v>20</v>
      </c>
      <c r="L588" s="422" t="s">
        <v>95</v>
      </c>
      <c r="M588" s="422" t="s">
        <v>1286</v>
      </c>
      <c r="N588" s="422" t="s">
        <v>1287</v>
      </c>
      <c r="O588" s="422" t="s">
        <v>25</v>
      </c>
      <c r="P588" s="422" t="s">
        <v>86</v>
      </c>
      <c r="Q588" s="423" t="s">
        <v>1330</v>
      </c>
    </row>
    <row r="589">
      <c r="A589" s="33">
        <v>351.0</v>
      </c>
      <c r="B589" s="34">
        <v>351.0</v>
      </c>
      <c r="C589" s="260">
        <v>77.0</v>
      </c>
      <c r="D589" s="260" t="str">
        <f>IFERROR(__xludf.DUMMYFUNCTION("if(B589&lt;=999,if(B589&lt;=99,IF(B589&lt;=9,join(,""000"",B589),join(,""00"",B589)),join(,""0"",B589)),B589)"),"0351")</f>
        <v>0351</v>
      </c>
      <c r="E589" s="270" t="s">
        <v>421</v>
      </c>
      <c r="F589" s="260" t="s">
        <v>20</v>
      </c>
      <c r="G589" s="260" t="str">
        <f t="shared" si="133"/>
        <v>#REF!</v>
      </c>
      <c r="H589" s="410" t="s">
        <v>21</v>
      </c>
      <c r="I589" s="260">
        <v>9.818917639E9</v>
      </c>
      <c r="J589" s="264" t="s">
        <v>77</v>
      </c>
      <c r="K589" s="411" t="str">
        <f>vlookup(D589,'Elligible Training Institutes R'!$D$9:$L$19,9,false)</f>
        <v>#N/A</v>
      </c>
      <c r="L589" s="401"/>
      <c r="M589" s="401" t="s">
        <v>1472</v>
      </c>
      <c r="N589" s="401" t="s">
        <v>422</v>
      </c>
      <c r="O589" s="401"/>
      <c r="P589" s="401"/>
      <c r="Q589" s="441" t="s">
        <v>1473</v>
      </c>
    </row>
    <row r="590">
      <c r="A590" s="55">
        <v>1046.0</v>
      </c>
      <c r="B590" s="55">
        <v>1046.0</v>
      </c>
      <c r="C590" s="260">
        <v>78.0</v>
      </c>
      <c r="D590" s="273">
        <f>IFERROR(__xludf.DUMMYFUNCTION("if(B590&lt;=999,if(B590&lt;=99,IF(B590&lt;=9,join(,""000"",B590),join(,""00"",B590)),join(,""0"",B590)),B590)"),1046.0)</f>
        <v>1046</v>
      </c>
      <c r="E590" s="304" t="s">
        <v>429</v>
      </c>
      <c r="F590" s="273" t="s">
        <v>20</v>
      </c>
      <c r="G590" s="273" t="str">
        <f t="shared" si="133"/>
        <v>#REF!</v>
      </c>
      <c r="H590" s="273" t="s">
        <v>21</v>
      </c>
      <c r="I590" s="273" t="str">
        <f t="shared" ref="I590:I593" si="135">VLOOKUP(D590,'Copy of Form Responses; CCTV Infra 1'!$G$2:$I$675,3,false)</f>
        <v>#REF!</v>
      </c>
      <c r="J590" s="275" t="s">
        <v>60</v>
      </c>
      <c r="K590" s="411" t="str">
        <f>vlookup(D590,'Elligible Training Institutes R'!$D$9:$L$19,9,false)</f>
        <v>#N/A</v>
      </c>
      <c r="L590" s="414"/>
      <c r="M590" s="414" t="s">
        <v>430</v>
      </c>
      <c r="N590" s="407"/>
      <c r="O590" s="414"/>
      <c r="P590" s="414"/>
      <c r="Q590" s="414"/>
    </row>
    <row r="591" hidden="1">
      <c r="A591" s="324">
        <v>220.0</v>
      </c>
      <c r="B591" s="324">
        <v>220.0</v>
      </c>
      <c r="C591" s="418">
        <v>277.0</v>
      </c>
      <c r="D591" s="418" t="str">
        <f>IFERROR(__xludf.DUMMYFUNCTION("if(B591&lt;=999,if(B591&lt;=99,IF(B591&lt;=9,join(,""000"",B591),join(,""00"",B591)),join(,""0"",B591)),B591)"),"0220")</f>
        <v>0220</v>
      </c>
      <c r="E591" s="417" t="s">
        <v>1290</v>
      </c>
      <c r="F591" s="418" t="s">
        <v>20</v>
      </c>
      <c r="G591" s="418" t="str">
        <f t="shared" si="133"/>
        <v>#REF!</v>
      </c>
      <c r="H591" s="419" t="s">
        <v>21</v>
      </c>
      <c r="I591" s="418" t="str">
        <f t="shared" si="135"/>
        <v>#REF!</v>
      </c>
      <c r="J591" s="420" t="s">
        <v>1291</v>
      </c>
      <c r="K591" s="421" t="s">
        <v>20</v>
      </c>
      <c r="L591" s="422" t="s">
        <v>330</v>
      </c>
      <c r="M591" s="422" t="s">
        <v>836</v>
      </c>
      <c r="N591" s="422">
        <v>25001.0</v>
      </c>
      <c r="O591" s="422" t="s">
        <v>25</v>
      </c>
      <c r="P591" s="422" t="s">
        <v>837</v>
      </c>
      <c r="Q591" s="423" t="s">
        <v>1330</v>
      </c>
    </row>
    <row r="592" hidden="1">
      <c r="A592" s="324">
        <v>37.0</v>
      </c>
      <c r="B592" s="324">
        <v>37.0</v>
      </c>
      <c r="C592" s="416">
        <v>278.0</v>
      </c>
      <c r="D592" s="418" t="str">
        <f>IFERROR(__xludf.DUMMYFUNCTION("if(B592&lt;=999,if(B592&lt;=99,IF(B592&lt;=9,join(,""000"",B592),join(,""00"",B592)),join(,""0"",B592)),B592)"),"0037")</f>
        <v>0037</v>
      </c>
      <c r="E592" s="417" t="s">
        <v>1292</v>
      </c>
      <c r="F592" s="418" t="s">
        <v>20</v>
      </c>
      <c r="G592" s="418" t="str">
        <f t="shared" si="133"/>
        <v>#REF!</v>
      </c>
      <c r="H592" s="419" t="s">
        <v>21</v>
      </c>
      <c r="I592" s="418" t="str">
        <f t="shared" si="135"/>
        <v>#REF!</v>
      </c>
      <c r="J592" s="420" t="s">
        <v>1293</v>
      </c>
      <c r="K592" s="421" t="s">
        <v>20</v>
      </c>
      <c r="L592" s="422" t="s">
        <v>330</v>
      </c>
      <c r="M592" s="422" t="s">
        <v>854</v>
      </c>
      <c r="N592" s="422" t="s">
        <v>1294</v>
      </c>
      <c r="O592" s="422" t="s">
        <v>25</v>
      </c>
      <c r="P592" s="422" t="s">
        <v>855</v>
      </c>
      <c r="Q592" s="423" t="s">
        <v>1330</v>
      </c>
    </row>
    <row r="593" hidden="1">
      <c r="A593" s="324">
        <v>723.0</v>
      </c>
      <c r="B593" s="324">
        <v>723.0</v>
      </c>
      <c r="C593" s="418">
        <v>279.0</v>
      </c>
      <c r="D593" s="418" t="str">
        <f>IFERROR(__xludf.DUMMYFUNCTION("if(B593&lt;=999,if(B593&lt;=99,IF(B593&lt;=9,join(,""000"",B593),join(,""00"",B593)),join(,""0"",B593)),B593)"),"0723")</f>
        <v>0723</v>
      </c>
      <c r="E593" s="417" t="s">
        <v>1295</v>
      </c>
      <c r="F593" s="418" t="s">
        <v>20</v>
      </c>
      <c r="G593" s="418" t="str">
        <f t="shared" si="133"/>
        <v>#REF!</v>
      </c>
      <c r="H593" s="419" t="s">
        <v>21</v>
      </c>
      <c r="I593" s="418" t="str">
        <f t="shared" si="135"/>
        <v>#REF!</v>
      </c>
      <c r="J593" s="420" t="s">
        <v>1293</v>
      </c>
      <c r="K593" s="421" t="s">
        <v>20</v>
      </c>
      <c r="L593" s="422" t="s">
        <v>330</v>
      </c>
      <c r="M593" s="422" t="s">
        <v>1296</v>
      </c>
      <c r="N593" s="422" t="e">
        <v>#N/A</v>
      </c>
      <c r="O593" s="422" t="s">
        <v>25</v>
      </c>
      <c r="P593" s="422" t="s">
        <v>855</v>
      </c>
      <c r="Q593" s="423" t="s">
        <v>1330</v>
      </c>
    </row>
    <row r="594" hidden="1">
      <c r="A594" s="51"/>
      <c r="B594" s="51"/>
      <c r="C594" s="519"/>
      <c r="D594" s="519">
        <v>1064.0</v>
      </c>
      <c r="E594" s="520" t="s">
        <v>1340</v>
      </c>
      <c r="F594" s="521" t="s">
        <v>20</v>
      </c>
      <c r="G594" s="519" t="s">
        <v>1883</v>
      </c>
      <c r="H594" s="522" t="s">
        <v>21</v>
      </c>
      <c r="I594" s="519">
        <v>9.012210049E9</v>
      </c>
      <c r="J594" s="523" t="s">
        <v>1884</v>
      </c>
      <c r="K594" s="522" t="s">
        <v>20</v>
      </c>
      <c r="L594" s="524" t="s">
        <v>330</v>
      </c>
      <c r="M594" s="525" t="s">
        <v>102</v>
      </c>
      <c r="N594" s="526"/>
      <c r="O594" s="524" t="s">
        <v>25</v>
      </c>
      <c r="P594" s="525">
        <v>888888.0</v>
      </c>
      <c r="Q594" s="527" t="s">
        <v>1330</v>
      </c>
    </row>
    <row r="595" hidden="1">
      <c r="A595" s="51"/>
      <c r="B595" s="51"/>
      <c r="C595" s="34"/>
      <c r="D595" s="34">
        <v>1027.0</v>
      </c>
      <c r="E595" s="528" t="s">
        <v>1885</v>
      </c>
      <c r="F595" s="53"/>
      <c r="G595" s="34" t="s">
        <v>1886</v>
      </c>
      <c r="H595" s="51"/>
      <c r="I595" s="34">
        <v>9.897800854E9</v>
      </c>
      <c r="J595" s="529"/>
      <c r="K595" s="51" t="s">
        <v>20</v>
      </c>
      <c r="L595" s="530" t="s">
        <v>137</v>
      </c>
      <c r="M595" s="530" t="s">
        <v>1887</v>
      </c>
      <c r="N595" s="530"/>
      <c r="O595" s="329" t="s">
        <v>25</v>
      </c>
      <c r="P595" s="530" t="s">
        <v>893</v>
      </c>
      <c r="Q595" s="414" t="s">
        <v>1330</v>
      </c>
    </row>
  </sheetData>
  <autoFilter ref="$A$8:$Q$595">
    <filterColumn colId="10">
      <filters>
        <filter val="#N/A"/>
      </filters>
    </filterColumn>
  </autoFilter>
  <customSheetViews>
    <customSheetView guid="{F79953EE-21CA-4328-B7CE-2E5232C4758F}" filter="1" showAutoFilter="1">
      <autoFilter ref="$A$8:$Q$595"/>
    </customSheetView>
    <customSheetView guid="{3244BD90-1F1B-49B1-9805-E2AEEAC5DF7E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03BA606A-9EF1-488F-B5B6-5F234A109122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26145B14-D411-4703-A550-BC4D66DDB855}" filter="1" showAutoFilter="1">
      <autoFilter ref="$A$8:$Q$595"/>
    </customSheetView>
    <customSheetView guid="{D0F387BE-95CD-4215-B4D7-7CB6B328D750}" filter="1" showAutoFilter="1">
      <autoFilter ref="$A$8:$Q$595">
        <filterColumn colId="16">
          <filters blank="1">
            <filter val="Does Not Become Center"/>
            <filter val="Do Not Want To Become Examination Centres"/>
            <filter val="Local IP; will provide tomorrow"/>
            <filter val="IP Not Open"/>
            <filter val="1036"/>
            <filter val="VERIFIED open ip mobile wifi netwark"/>
            <filter val="ROUTER CONFIGURATION"/>
            <filter val="REQUEST TIME OUT"/>
            <filter val="Wrong IP"/>
            <filter val="page not opening"/>
            <filter val="center has closed"/>
          </filters>
        </filterColumn>
      </autoFilter>
    </customSheetView>
    <customSheetView guid="{83CFE988-7961-4294-A58B-6D43D804AA72}" filter="1" showAutoFilter="1">
      <autoFilter ref="$A$8:$Q$595"/>
    </customSheetView>
    <customSheetView guid="{55429418-C5E5-48EC-BE8C-D5FCDB9B5FF0}" filter="1" showAutoFilter="1">
      <autoFilter ref="$A$8:$Q$595">
        <filterColumn colId="5">
          <filters blank="1">
            <filter val="No"/>
            <filter val="yes"/>
          </filters>
        </filterColumn>
      </autoFilter>
    </customSheetView>
    <customSheetView guid="{29638FDE-F393-4482-95FA-94A7C29B2F6D}" filter="1" showAutoFilter="1">
      <autoFilter ref="$A$8:$Q$595">
        <filterColumn colId="10">
          <filters>
            <filter val="#N/A"/>
          </filters>
        </filterColumn>
      </autoFilter>
    </customSheetView>
    <customSheetView guid="{949CA828-ADAD-4E9F-B44A-C4CC9CB43678}" filter="1" showAutoFilter="1">
      <autoFilter ref="$P$5"/>
    </customSheetView>
    <customSheetView guid="{1DC2AD82-D692-4630-94C1-2791270E8794}" filter="1" showAutoFilter="1">
      <autoFilter ref="$N$3"/>
    </customSheetView>
    <customSheetView guid="{41EC89E4-EEB1-42F9-9D42-62D67780E2D1}" filter="1" showAutoFilter="1">
      <autoFilter ref="$A$8:$Q$595">
        <filterColumn colId="10">
          <filters>
            <filter val="#N/A"/>
          </filters>
        </filterColumn>
      </autoFilter>
    </customSheetView>
    <customSheetView guid="{05E57482-DB48-400E-8515-A1E7600ACD40}" filter="1" showAutoFilter="1">
      <autoFilter ref="$P$1"/>
    </customSheetView>
    <customSheetView guid="{B995BA34-E10D-40AF-AA8C-B5692B2826B5}" filter="1" showAutoFilter="1">
      <autoFilter ref="$A$8:$K$595">
        <filterColumn colId="10">
          <filters>
            <filter val="Yes"/>
            <filter val="#N/A"/>
          </filters>
        </filterColumn>
      </autoFilter>
    </customSheetView>
    <customSheetView guid="{3D2377A7-7B9A-4DD0-8064-B35170BE2591}" filter="1" showAutoFilter="1">
      <autoFilter ref="$A$8:$Q$595">
        <filterColumn colId="16">
          <filters blank="1">
            <filter val="Page not opening; user name, password not provided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  <filterColumn colId="6">
          <filters>
            <filter val="GOPAL SHUKLA"/>
            <filter val="MANNU SINGH YADAV"/>
            <filter val="Jaydeep"/>
            <filter val="Rajesh Kumar Srivastava"/>
            <filter val="Mr. Devendra kumar &amp; Mr. Shahnawaz"/>
            <filter val="PANKAJ KUMAR DUBEY"/>
            <filter val="Vinod Saraswat"/>
            <filter val="Mohd Arif Ali"/>
            <filter val="Mr. Deepak Tomar"/>
            <filter val="Mohammad Akram"/>
            <filter val="Mohd Taukir khan"/>
            <filter val="Abhishek Nishad"/>
            <filter val="NAVEEN"/>
            <filter val="AKHILESH"/>
            <filter val="AJETA"/>
            <filter val="Ajeet Kumar Sharma"/>
            <filter val="MOHD ABID ANSARI"/>
            <filter val="Pragya"/>
            <filter val="K K CHAUHAN"/>
            <filter val="Vishal"/>
            <filter val="Dr.Shakeel Ahmad"/>
            <filter val="KULVINDER SINGH"/>
            <filter val="Vishal singh"/>
            <filter val="SUSHEEL SHUKLA"/>
            <filter val="RAKESH KUMAR"/>
            <filter val="Mr. JIJIL B."/>
            <filter val="Swadesh"/>
            <filter val="AMIT"/>
            <filter val="AMIR"/>
            <filter val="PRASHANT SHUKLA"/>
            <filter val="ANUJ SINGH"/>
            <filter val="NARENDRA"/>
            <filter val="AMIT KUMAR"/>
            <filter val="Ahmad"/>
            <filter val="ABDUL NASEEM ANSARI"/>
            <filter val="Mr. Umesh Guglani/ Dr Vishnoi/Pragya"/>
            <filter val="SHOBHIT"/>
            <filter val="Ashutosh Singh"/>
            <filter val="PRADEEP"/>
            <filter val="Gotam kumar"/>
            <filter val="Jitendra Kumar"/>
            <filter val="Anurag Pandey"/>
            <filter val="Sandeep Pal/ Anchal Kapoor"/>
            <filter val="DHEERAJ KUMAR SINGH"/>
            <filter val="VICTORIA DEVI"/>
            <filter val="Ali Aman"/>
            <filter val="Sunil"/>
            <filter val="Umesh electronic"/>
            <filter val="Sanjeev Shukla"/>
            <filter val="NAVED"/>
            <filter val="akshya kumar"/>
            <filter val="MUKUL SAXENA"/>
            <filter val="Dr Seema Jangid"/>
            <filter val="Sachin Chaudhary"/>
            <filter val="DR PUNEET"/>
            <filter val="ANUP"/>
            <filter val="RAVI SINGH"/>
            <filter val="Mr. Sachin Kumar"/>
            <filter val="Bhaskar/Amit Mourya"/>
            <filter val="]]"/>
            <filter val="#REF!"/>
            <filter val="VINOD KUMAR"/>
            <filter val="Mohammad Hifzur Rehman"/>
            <filter val="DURGESH CHAUHAN"/>
            <filter val="Mr Sonu Kumar Gupta"/>
            <filter val="VIKESH SINGH"/>
            <filter val="Vicky"/>
            <filter val="RAM SINGH RHTRE"/>
            <filter val="Ajay Kumar Patel"/>
            <filter val="MOHD SHUAIB"/>
            <filter val="MANAS"/>
            <filter val="F.I. TECH TEAM"/>
            <filter val="DR PANKAJ"/>
            <filter val="Mr Deepak Pachauri"/>
            <filter val="Vivek Tripathi/ Dr H S Kholia"/>
            <filter val="Mehtab"/>
            <filter val="Himanshu"/>
            <filter val="RAMU PRASAD PATEL"/>
            <filter val="SACHIN"/>
            <filter val="Pintu Pandey/ AWNISH KUMAR"/>
            <filter val="ASHUTOSH MISHRA"/>
            <filter val="Vishal Chandra Gupta/ Rakesh"/>
            <filter val="NAVNEET"/>
            <filter val="Mohit"/>
            <filter val="HIMANSHU GAURAV"/>
            <filter val="Vincent"/>
            <filter val="Ms. Gaus Fatima"/>
            <filter val="ANUPAM"/>
            <filter val="GAURAV KUMAR"/>
            <filter val="RAJ KAMAL SAXENA"/>
            <filter val="Ashfaque Khan"/>
            <filter val="IRPHAN"/>
            <filter val="Ms. Naeem Fatima"/>
            <filter val="Salman"/>
            <filter val="MANISH"/>
            <filter val="Mr. Reuben B Lal"/>
            <filter val="PRASHANT GOSWAMI/ Dr. Abhay Sharma"/>
          </filters>
        </filterColumn>
      </autoFilter>
    </customSheetView>
    <customSheetView guid="{8D321D32-C538-4F99-A133-732AA9E194E7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BE7EE906-3AC6-489B-8307-8DCF78AC4CC4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  <filterColumn colId="10">
          <filters>
            <filter val="#N/A"/>
          </filters>
        </filterColumn>
      </autoFilter>
    </customSheetView>
    <customSheetView guid="{4B942B8B-C855-402E-B1CA-C99DA2CDE73C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B8F91280-5839-4824-9837-B33C2803B9C9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8C74C9FC-D395-430E-9425-07E8EBD06DD9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59693195-0373-46FB-A9CA-38C62EF18CBE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88D6F7E3-A77D-4A4A-B3FA-3E0E2F352DBE}" filter="1" showAutoFilter="1">
      <autoFilter ref="$P$1:$P$3"/>
    </customSheetView>
    <customSheetView guid="{910CCA99-ECFE-4553-A281-5C978C3187C0}" filter="1" showAutoFilter="1">
      <autoFilter ref="$O$1:$P$1"/>
    </customSheetView>
    <customSheetView guid="{B340BCCB-2239-4F53-A7F5-8859E4CC659F}" filter="1" showAutoFilter="1">
      <autoFilter ref="$A$8:$Q$595">
        <filterColumn colId="16">
          <filters blank="1">
            <filter val="Page not opening; user name, password not provided"/>
            <filter val="Does Not Become Center"/>
            <filter val="Do Not Want To Become Examination Centres"/>
            <filter val="NOT CONFIGURE"/>
            <filter val="Local IP; no answer"/>
            <filter val="Local IP; will provide tomorrow"/>
            <filter val="Page not opening"/>
            <filter val="Local DVR IP"/>
            <filter val="IP not provided"/>
            <filter val="IP Not Open"/>
            <filter val="IP working, but log-in failed"/>
            <filter val="Not possible because of broadband issue; Only local IP provided"/>
            <filter val="1036"/>
            <filter val="VERIFIED open ip mobile wifi netwark"/>
            <filter val="IP not provided; will share"/>
            <filter val="IP not provided; will share tomorrow"/>
            <filter val="ip address not"/>
            <filter val="ROUTER CONFIGURATION"/>
            <filter val="No Response"/>
            <filter val="REQUEST TIME OUT"/>
            <filter val="Wrong IP"/>
            <filter val="page not opening"/>
            <filter val="IP Not  Given"/>
            <filter val="IP not provided; will change DVR and share"/>
            <filter val="IP not on record"/>
            <filter val="center has closed"/>
            <filter val="Local IP"/>
            <filter val="Details not given"/>
          </filters>
        </filterColumn>
      </autoFilter>
    </customSheetView>
    <customSheetView guid="{1C94B833-20B3-4B74-ACE6-0864EB8F8213}" filter="1" showAutoFilter="1">
      <autoFilter ref="$A$8:$Q$595"/>
    </customSheetView>
    <customSheetView guid="{89D674A9-5E02-46F3-8EAE-C90AAEBD18CB}" filter="1" showAutoFilter="1">
      <autoFilter ref="$A$8:$Q$595">
        <filterColumn colId="16">
          <filters>
            <filter val="Does Not Become Center"/>
            <filter val="Local IP; will provide tomorrow"/>
            <filter val="VERIFIED"/>
            <filter val="IP Not Open"/>
            <filter val="1036"/>
            <filter val="VERIFIED open ip mobile wifi netwark"/>
            <filter val="ROUTER CONFIGURATION"/>
            <filter val="REQUEST TIME OUT"/>
            <filter val="page not opening"/>
            <filter val="center has closed"/>
          </filters>
        </filterColumn>
        <filterColumn colId="10">
          <filters>
            <filter val="#N/A"/>
          </filters>
        </filterColumn>
      </autoFilter>
    </customSheetView>
    <customSheetView guid="{F8C118C5-118F-4E9B-9306-7A818040F34B}" filter="1" showAutoFilter="1">
      <autoFilter ref="$N$3"/>
    </customSheetView>
  </customSheetViews>
  <dataValidations>
    <dataValidation type="list" allowBlank="1" sqref="K9:K595">
      <formula1>"Yes,No"</formula1>
    </dataValidation>
  </dataValidations>
  <hyperlinks>
    <hyperlink r:id="rId1" ref="M67"/>
    <hyperlink r:id="rId2" ref="M80"/>
    <hyperlink r:id="rId3" ref="M83"/>
    <hyperlink r:id="rId4" ref="M128"/>
    <hyperlink r:id="rId5" ref="M144"/>
    <hyperlink r:id="rId6" ref="M166"/>
    <hyperlink r:id="rId7" ref="M193"/>
    <hyperlink r:id="rId8" ref="M214"/>
    <hyperlink r:id="rId9" ref="M230"/>
    <hyperlink r:id="rId10" ref="M253"/>
    <hyperlink r:id="rId11" ref="M293"/>
    <hyperlink r:id="rId12" ref="M294"/>
    <hyperlink r:id="rId13" ref="M301"/>
    <hyperlink r:id="rId14" ref="M343"/>
    <hyperlink r:id="rId15" ref="M424"/>
    <hyperlink r:id="rId16" ref="M464"/>
    <hyperlink r:id="rId17" ref="M476"/>
    <hyperlink r:id="rId18" ref="M519"/>
    <hyperlink r:id="rId19" ref="M549"/>
    <hyperlink r:id="rId20" ref="M552"/>
    <hyperlink r:id="rId21" ref="M583"/>
    <hyperlink r:id="rId22" ref="M587"/>
  </hyperlinks>
  <printOptions horizontalCentered="1"/>
  <pageMargins bottom="0.75" footer="0.0" header="0.0" left="0.7" right="0.7" top="0.75"/>
  <pageSetup fitToHeight="0" paperSize="9" cellComments="atEnd" orientation="portrait" pageOrder="overThenDown"/>
  <drawing r:id="rId23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17.75"/>
    <col customWidth="1" min="5" max="5" width="74.75"/>
    <col customWidth="1" min="6" max="6" width="17.0"/>
    <col customWidth="1" min="7" max="7" width="13.13"/>
    <col customWidth="1" min="8" max="8" width="12.5"/>
    <col customWidth="1" min="9" max="9" width="26.0"/>
  </cols>
  <sheetData>
    <row r="1">
      <c r="A1" s="224"/>
      <c r="B1" s="224"/>
      <c r="C1" s="225">
        <v>1.0</v>
      </c>
      <c r="D1" s="226" t="s">
        <v>1321</v>
      </c>
      <c r="E1" s="227" t="s">
        <v>1322</v>
      </c>
      <c r="F1" s="227"/>
      <c r="G1" s="227"/>
      <c r="H1" s="16"/>
      <c r="I1" s="229"/>
    </row>
    <row r="2" hidden="1">
      <c r="A2" s="6" t="s">
        <v>0</v>
      </c>
      <c r="B2" s="231"/>
      <c r="C2" s="231"/>
      <c r="D2" s="231"/>
      <c r="E2" s="232"/>
      <c r="F2" s="233"/>
      <c r="G2" s="233"/>
      <c r="H2" s="234"/>
      <c r="I2" s="229"/>
    </row>
    <row r="3">
      <c r="A3" s="235"/>
      <c r="B3" s="236"/>
      <c r="C3" s="236">
        <v>1.0</v>
      </c>
      <c r="D3" s="236"/>
      <c r="E3" s="237">
        <f>countif(H9:H17,"Yes")</f>
        <v>0</v>
      </c>
      <c r="F3" s="238"/>
      <c r="G3" s="238"/>
      <c r="H3" s="234"/>
      <c r="I3" s="229"/>
    </row>
    <row r="4">
      <c r="A4" s="239"/>
      <c r="B4" s="240"/>
      <c r="C4" s="240"/>
      <c r="D4" s="240"/>
      <c r="E4" s="241"/>
      <c r="F4" s="242"/>
      <c r="G4" s="242"/>
      <c r="H4" s="234"/>
      <c r="I4" s="229"/>
    </row>
    <row r="5">
      <c r="A5" s="12" t="s">
        <v>2</v>
      </c>
      <c r="B5" s="12" t="s">
        <v>3</v>
      </c>
      <c r="C5" s="12"/>
      <c r="D5" s="12"/>
      <c r="E5" s="243" t="s">
        <v>1323</v>
      </c>
      <c r="F5" s="243"/>
      <c r="G5" s="243"/>
      <c r="H5" s="234"/>
      <c r="I5" s="245"/>
    </row>
    <row r="6">
      <c r="A6" s="17">
        <v>802.0</v>
      </c>
      <c r="B6" s="18">
        <v>592.0</v>
      </c>
      <c r="C6" s="18"/>
      <c r="D6" s="18"/>
      <c r="E6" s="247">
        <v>593.0</v>
      </c>
      <c r="F6" s="247"/>
      <c r="G6" s="247"/>
      <c r="H6" s="234"/>
      <c r="I6" s="229"/>
    </row>
    <row r="7">
      <c r="A7" s="20"/>
      <c r="B7" s="249"/>
      <c r="C7" s="250"/>
      <c r="D7" s="250"/>
      <c r="E7" s="251"/>
      <c r="F7" s="252"/>
      <c r="G7" s="252"/>
      <c r="H7" s="248"/>
      <c r="I7" s="254"/>
    </row>
    <row r="8">
      <c r="A8" s="26" t="s">
        <v>6</v>
      </c>
      <c r="B8" s="27" t="s">
        <v>6</v>
      </c>
      <c r="C8" s="255" t="s">
        <v>1324</v>
      </c>
      <c r="D8" s="255" t="s">
        <v>6</v>
      </c>
      <c r="E8" s="256" t="s">
        <v>1325</v>
      </c>
      <c r="F8" s="256" t="s">
        <v>1326</v>
      </c>
      <c r="G8" s="256" t="s">
        <v>1327</v>
      </c>
      <c r="H8" s="255" t="s">
        <v>12</v>
      </c>
      <c r="I8" s="243" t="s">
        <v>14</v>
      </c>
    </row>
    <row r="9">
      <c r="A9" s="258">
        <v>362.0</v>
      </c>
      <c r="B9" s="259">
        <v>362.0</v>
      </c>
      <c r="C9" s="260"/>
      <c r="D9" s="261"/>
      <c r="E9" s="262"/>
      <c r="F9" s="263"/>
      <c r="G9" s="263"/>
      <c r="H9" s="265"/>
      <c r="I9" s="266"/>
    </row>
    <row r="10">
      <c r="A10" s="258">
        <v>1001.0</v>
      </c>
      <c r="B10" s="259">
        <v>1001.0</v>
      </c>
      <c r="C10" s="260"/>
      <c r="D10" s="260"/>
      <c r="E10" s="262"/>
      <c r="F10" s="263"/>
      <c r="G10" s="263"/>
      <c r="H10" s="265"/>
      <c r="I10" s="269"/>
    </row>
    <row r="11">
      <c r="A11" s="258">
        <v>1120.0</v>
      </c>
      <c r="B11" s="259">
        <v>1120.0</v>
      </c>
      <c r="C11" s="260"/>
      <c r="D11" s="260"/>
      <c r="E11" s="270"/>
      <c r="F11" s="263"/>
      <c r="G11" s="263"/>
      <c r="H11" s="265"/>
      <c r="I11" s="266"/>
    </row>
    <row r="12">
      <c r="A12" s="258">
        <v>222.0</v>
      </c>
      <c r="B12" s="259">
        <v>222.0</v>
      </c>
      <c r="C12" s="260"/>
      <c r="D12" s="260"/>
      <c r="E12" s="270"/>
      <c r="F12" s="263"/>
      <c r="G12" s="263"/>
      <c r="H12" s="265"/>
      <c r="I12" s="266"/>
    </row>
    <row r="13">
      <c r="A13" s="258">
        <v>417.0</v>
      </c>
      <c r="B13" s="259">
        <v>417.0</v>
      </c>
      <c r="C13" s="260"/>
      <c r="D13" s="260"/>
      <c r="E13" s="270"/>
      <c r="F13" s="263"/>
      <c r="G13" s="263"/>
      <c r="H13" s="265"/>
      <c r="I13" s="266"/>
    </row>
    <row r="14">
      <c r="A14" s="258">
        <v>884.0</v>
      </c>
      <c r="B14" s="259">
        <v>884.0</v>
      </c>
      <c r="C14" s="260"/>
      <c r="D14" s="260"/>
      <c r="E14" s="270"/>
      <c r="F14" s="263"/>
      <c r="G14" s="263"/>
      <c r="H14" s="265"/>
      <c r="I14" s="266"/>
    </row>
    <row r="15">
      <c r="A15" s="272">
        <v>1285.0</v>
      </c>
      <c r="B15" s="272">
        <v>1285.0</v>
      </c>
      <c r="C15" s="260"/>
      <c r="D15" s="273"/>
      <c r="E15" s="274"/>
      <c r="F15" s="263"/>
      <c r="G15" s="263"/>
      <c r="H15" s="276"/>
      <c r="I15" s="277"/>
    </row>
    <row r="16">
      <c r="A16" s="258">
        <v>1220.0</v>
      </c>
      <c r="B16" s="259">
        <v>1220.0</v>
      </c>
      <c r="C16" s="260"/>
      <c r="D16" s="260"/>
      <c r="E16" s="262"/>
      <c r="F16" s="263"/>
      <c r="G16" s="263"/>
      <c r="H16" s="265"/>
      <c r="I16" s="266"/>
    </row>
    <row r="17">
      <c r="A17" s="258">
        <v>55.0</v>
      </c>
      <c r="B17" s="259">
        <v>55.0</v>
      </c>
      <c r="C17" s="260"/>
      <c r="D17" s="260"/>
      <c r="E17" s="262"/>
      <c r="F17" s="263"/>
      <c r="G17" s="263"/>
      <c r="H17" s="265"/>
      <c r="I17" s="266"/>
    </row>
  </sheetData>
  <autoFilter ref="$A$8:$I$17">
    <sortState ref="A8:I17">
      <sortCondition ref="F8:F17"/>
    </sortState>
  </autoFilter>
  <customSheetViews>
    <customSheetView guid="{03BA606A-9EF1-488F-B5B6-5F234A109122}" filter="1" showAutoFilter="1">
      <autoFilter ref="$A$8:$I$17"/>
    </customSheetView>
    <customSheetView guid="{83CFE988-7961-4294-A58B-6D43D804AA72}" filter="1" showAutoFilter="1">
      <autoFilter ref="$A$8:$I$17"/>
    </customSheetView>
    <customSheetView guid="{8D321D32-C538-4F99-A133-732AA9E194E7}" filter="1" showAutoFilter="1">
      <autoFilter ref="$A$8:$I$17"/>
    </customSheetView>
    <customSheetView guid="{B340BCCB-2239-4F53-A7F5-8859E4CC659F}" filter="1" showAutoFilter="1">
      <autoFilter ref="$A$8:$I$17"/>
    </customSheetView>
    <customSheetView guid="{3244BD90-1F1B-49B1-9805-E2AEEAC5DF7E}" filter="1" showAutoFilter="1">
      <autoFilter ref="$A$8:$I$17"/>
    </customSheetView>
    <customSheetView guid="{B995BA34-E10D-40AF-AA8C-B5692B2826B5}" filter="1" showAutoFilter="1">
      <autoFilter ref="$A$8:$H$17">
        <filterColumn colId="7">
          <filters/>
        </filterColumn>
      </autoFilter>
    </customSheetView>
    <customSheetView guid="{3D2377A7-7B9A-4DD0-8064-B35170BE2591}" filter="1" showAutoFilter="1">
      <autoFilter ref="$A$8:$I$17"/>
    </customSheetView>
    <customSheetView guid="{461316B6-17F5-406C-AD29-9E9E363CFA06}" filter="1" showAutoFilter="1">
      <autoFilter ref="$A$8:$I$17"/>
    </customSheetView>
    <customSheetView guid="{1C94B833-20B3-4B74-ACE6-0864EB8F8213}" filter="1" showAutoFilter="1">
      <autoFilter ref="$A$8:$I$17"/>
    </customSheetView>
    <customSheetView guid="{89D674A9-5E02-46F3-8EAE-C90AAEBD18CB}" filter="1" showAutoFilter="1">
      <autoFilter ref="$A$8:$I$17">
        <filterColumn colId="7">
          <filters blank="1"/>
        </filterColumn>
      </autoFilter>
    </customSheetView>
    <customSheetView guid="{E011813A-1907-4E19-A9F9-B58EB77877E4}" filter="1" showAutoFilter="1">
      <autoFilter ref="$A$8:$I$17"/>
    </customSheetView>
    <customSheetView guid="{19BDEF7B-6167-46F4-96D1-80D9261FEA6F}" filter="1" showAutoFilter="1">
      <autoFilter ref="$A$8:$I$17">
        <filterColumn colId="7">
          <filters blank="1"/>
        </filterColumn>
      </autoFilter>
    </customSheetView>
    <customSheetView guid="{59693195-0373-46FB-A9CA-38C62EF18CBE}" filter="1" showAutoFilter="1">
      <autoFilter ref="$A$8:$I$17"/>
    </customSheetView>
    <customSheetView guid="{B8F91280-5839-4824-9837-B33C2803B9C9}" filter="1" showAutoFilter="1">
      <autoFilter ref="$A$8:$I$17"/>
    </customSheetView>
    <customSheetView guid="{F79953EE-21CA-4328-B7CE-2E5232C4758F}" filter="1" showAutoFilter="1">
      <autoFilter ref="$A$8:$I$17"/>
    </customSheetView>
    <customSheetView guid="{4B942B8B-C855-402E-B1CA-C99DA2CDE73C}" filter="1" showAutoFilter="1">
      <autoFilter ref="$A$8:$I$17"/>
    </customSheetView>
    <customSheetView guid="{4CDEB16D-957F-46E0-B073-82BA58078811}" filter="1" showAutoFilter="1">
      <autoFilter ref="$A$8:$I$17"/>
    </customSheetView>
    <customSheetView guid="{26145B14-D411-4703-A550-BC4D66DDB855}" filter="1" showAutoFilter="1">
      <autoFilter ref="$A$8:$I$17"/>
    </customSheetView>
    <customSheetView guid="{8C74C9FC-D395-430E-9425-07E8EBD06DD9}" filter="1" showAutoFilter="1">
      <autoFilter ref="$A$8:$I$17"/>
    </customSheetView>
    <customSheetView guid="{55429418-C5E5-48EC-BE8C-D5FCDB9B5FF0}" filter="1" showAutoFilter="1">
      <autoFilter ref="$A$8:$I$17"/>
    </customSheetView>
    <customSheetView guid="{29638FDE-F393-4482-95FA-94A7C29B2F6D}" filter="1" showAutoFilter="1">
      <autoFilter ref="$A$8:$I$17">
        <filterColumn colId="7">
          <filters blank="1"/>
        </filterColumn>
      </autoFilter>
    </customSheetView>
    <customSheetView guid="{D0F387BE-95CD-4215-B4D7-7CB6B328D750}" filter="1" showAutoFilter="1">
      <autoFilter ref="$A$8:$I$17"/>
    </customSheetView>
    <customSheetView guid="{41EC89E4-EEB1-42F9-9D42-62D67780E2D1}" filter="1" showAutoFilter="1">
      <autoFilter ref="$A$8:$I$17">
        <filterColumn colId="7">
          <filters blank="1"/>
        </filterColumn>
      </autoFilter>
    </customSheetView>
    <customSheetView guid="{0FE39A5F-C5C4-4C74-B50C-08D37C704852}" filter="1" showAutoFilter="1">
      <autoFilter ref="$A$8:$I$17"/>
    </customSheetView>
    <customSheetView guid="{BE7EE906-3AC6-489B-8307-8DCF78AC4CC4}" filter="1" showAutoFilter="1">
      <autoFilter ref="$A$8:$I$17">
        <filterColumn colId="7">
          <filters blank="1"/>
        </filterColumn>
      </autoFilter>
    </customSheetView>
  </customSheetViews>
  <dataValidations>
    <dataValidation type="list" allowBlank="1" sqref="H9:H17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63"/>
    <col customWidth="1" min="2" max="2" width="6.13"/>
    <col customWidth="1" min="3" max="3" width="17.75"/>
    <col customWidth="1" min="4" max="4" width="64.38"/>
    <col customWidth="1" min="5" max="5" width="10.88"/>
    <col customWidth="1" min="6" max="6" width="13.13"/>
    <col customWidth="1" min="7" max="7" width="12.5"/>
    <col customWidth="1" min="8" max="8" width="20.88"/>
    <col customWidth="1" min="9" max="9" width="22.25"/>
  </cols>
  <sheetData>
    <row r="1">
      <c r="A1" s="224"/>
      <c r="B1" s="225">
        <v>1.0</v>
      </c>
      <c r="C1" s="226" t="s">
        <v>1888</v>
      </c>
      <c r="D1" s="227" t="s">
        <v>1322</v>
      </c>
      <c r="E1" s="227"/>
      <c r="F1" s="227"/>
      <c r="G1" s="16"/>
      <c r="H1" s="230"/>
      <c r="I1" s="230"/>
    </row>
    <row r="2" hidden="1">
      <c r="A2" s="231"/>
      <c r="B2" s="231"/>
      <c r="C2" s="231"/>
      <c r="D2" s="232"/>
      <c r="E2" s="233"/>
      <c r="F2" s="233"/>
      <c r="G2" s="234"/>
      <c r="H2" s="230"/>
      <c r="I2" s="230"/>
    </row>
    <row r="3">
      <c r="A3" s="236"/>
      <c r="B3" s="236">
        <v>1.0</v>
      </c>
      <c r="C3" s="236"/>
      <c r="D3" s="237">
        <f>countif(G7:G20,"Yes")</f>
        <v>0</v>
      </c>
      <c r="E3" s="238"/>
      <c r="F3" s="238"/>
      <c r="G3" s="234"/>
      <c r="H3" s="230"/>
      <c r="I3" s="230"/>
    </row>
    <row r="4">
      <c r="A4" s="240"/>
      <c r="B4" s="240"/>
      <c r="C4" s="240"/>
      <c r="D4" s="241"/>
      <c r="E4" s="242"/>
      <c r="F4" s="242"/>
      <c r="G4" s="234"/>
      <c r="H4" s="230"/>
      <c r="I4" s="230"/>
    </row>
    <row r="5">
      <c r="A5" s="249"/>
      <c r="B5" s="250"/>
      <c r="C5" s="250"/>
      <c r="D5" s="251"/>
      <c r="E5" s="252"/>
      <c r="F5" s="252"/>
      <c r="G5" s="248"/>
      <c r="H5" s="230"/>
      <c r="I5" s="230"/>
    </row>
    <row r="6">
      <c r="A6" s="27" t="s">
        <v>6</v>
      </c>
      <c r="B6" s="255" t="s">
        <v>1324</v>
      </c>
      <c r="C6" s="255" t="s">
        <v>6</v>
      </c>
      <c r="D6" s="256" t="s">
        <v>1325</v>
      </c>
      <c r="E6" s="256" t="s">
        <v>1326</v>
      </c>
      <c r="F6" s="256" t="s">
        <v>1327</v>
      </c>
      <c r="G6" s="255" t="s">
        <v>12</v>
      </c>
      <c r="H6" s="243" t="s">
        <v>1328</v>
      </c>
      <c r="I6" s="243" t="s">
        <v>1329</v>
      </c>
    </row>
    <row r="7">
      <c r="A7" s="259"/>
      <c r="B7" s="260"/>
      <c r="C7" s="261"/>
      <c r="D7" s="262"/>
      <c r="E7" s="263"/>
      <c r="F7" s="263"/>
      <c r="G7" s="265"/>
      <c r="H7" s="268"/>
      <c r="I7" s="268"/>
    </row>
    <row r="8">
      <c r="A8" s="259"/>
      <c r="B8" s="260"/>
      <c r="C8" s="260"/>
      <c r="D8" s="262"/>
      <c r="E8" s="263"/>
      <c r="F8" s="263"/>
      <c r="G8" s="265"/>
      <c r="H8" s="268"/>
      <c r="I8" s="268"/>
    </row>
    <row r="9">
      <c r="A9" s="259"/>
      <c r="B9" s="260"/>
      <c r="C9" s="260"/>
      <c r="D9" s="270"/>
      <c r="E9" s="263"/>
      <c r="F9" s="263"/>
      <c r="G9" s="265"/>
      <c r="H9" s="268"/>
      <c r="I9" s="268"/>
    </row>
    <row r="10">
      <c r="A10" s="259"/>
      <c r="B10" s="260"/>
      <c r="C10" s="260"/>
      <c r="D10" s="270"/>
      <c r="E10" s="263"/>
      <c r="F10" s="263"/>
      <c r="G10" s="265"/>
      <c r="H10" s="268"/>
      <c r="I10" s="268"/>
    </row>
    <row r="11">
      <c r="A11" s="259"/>
      <c r="B11" s="260"/>
      <c r="C11" s="260"/>
      <c r="D11" s="270"/>
      <c r="E11" s="263"/>
      <c r="F11" s="263"/>
      <c r="G11" s="265"/>
      <c r="H11" s="268"/>
      <c r="I11" s="268"/>
    </row>
    <row r="12">
      <c r="A12" s="259"/>
      <c r="B12" s="260"/>
      <c r="C12" s="260"/>
      <c r="D12" s="270"/>
      <c r="E12" s="263"/>
      <c r="F12" s="263"/>
      <c r="G12" s="265"/>
      <c r="H12" s="268"/>
      <c r="I12" s="268"/>
    </row>
    <row r="13">
      <c r="A13" s="272"/>
      <c r="B13" s="260"/>
      <c r="C13" s="273"/>
      <c r="D13" s="274"/>
      <c r="E13" s="263"/>
      <c r="F13" s="263"/>
      <c r="G13" s="276"/>
      <c r="H13" s="268"/>
      <c r="I13" s="268"/>
    </row>
    <row r="14">
      <c r="A14" s="259"/>
      <c r="B14" s="260"/>
      <c r="C14" s="260"/>
      <c r="D14" s="262"/>
      <c r="E14" s="263"/>
      <c r="F14" s="263"/>
      <c r="G14" s="265"/>
      <c r="H14" s="268"/>
      <c r="I14" s="268"/>
    </row>
    <row r="15">
      <c r="A15" s="259"/>
      <c r="B15" s="260"/>
      <c r="C15" s="260"/>
      <c r="D15" s="262"/>
      <c r="E15" s="263"/>
      <c r="F15" s="263"/>
      <c r="G15" s="265"/>
      <c r="H15" s="268"/>
      <c r="I15" s="268"/>
    </row>
    <row r="16">
      <c r="A16" s="258"/>
      <c r="B16" s="260"/>
      <c r="C16" s="260"/>
      <c r="D16" s="262"/>
      <c r="E16" s="263"/>
      <c r="F16" s="263"/>
      <c r="G16" s="265"/>
      <c r="H16" s="268"/>
      <c r="I16" s="268"/>
    </row>
    <row r="17">
      <c r="A17" s="258"/>
      <c r="B17" s="260"/>
      <c r="C17" s="260"/>
      <c r="D17" s="262"/>
      <c r="E17" s="263"/>
      <c r="F17" s="263"/>
      <c r="G17" s="265"/>
      <c r="H17" s="268"/>
      <c r="I17" s="268"/>
    </row>
    <row r="18">
      <c r="A18" s="272"/>
      <c r="B18" s="273"/>
      <c r="C18" s="273"/>
      <c r="D18" s="302"/>
      <c r="E18" s="303"/>
      <c r="F18" s="303"/>
      <c r="G18" s="276"/>
      <c r="H18" s="268"/>
      <c r="I18" s="268"/>
    </row>
    <row r="19">
      <c r="A19" s="258"/>
      <c r="B19" s="260"/>
      <c r="C19" s="260"/>
      <c r="D19" s="270"/>
      <c r="E19" s="263"/>
      <c r="F19" s="263"/>
      <c r="G19" s="265"/>
      <c r="H19" s="268"/>
      <c r="I19" s="268"/>
    </row>
    <row r="20">
      <c r="A20" s="258"/>
      <c r="B20" s="260"/>
      <c r="C20" s="260"/>
      <c r="D20" s="270"/>
      <c r="E20" s="263"/>
      <c r="F20" s="263"/>
      <c r="G20" s="265"/>
      <c r="H20" s="268"/>
      <c r="I20" s="268"/>
    </row>
  </sheetData>
  <autoFilter ref="$A$6:$I$20"/>
  <customSheetViews>
    <customSheetView guid="{83CFE988-7961-4294-A58B-6D43D804AA72}" filter="1" showAutoFilter="1">
      <autoFilter ref="$A$6:$G$20"/>
    </customSheetView>
    <customSheetView guid="{F79953EE-21CA-4328-B7CE-2E5232C4758F}" filter="1" showAutoFilter="1">
      <autoFilter ref="$A$6:$G$20"/>
    </customSheetView>
    <customSheetView guid="{8D321D32-C538-4F99-A133-732AA9E194E7}" filter="1" showAutoFilter="1">
      <autoFilter ref="$A$6:$G$20"/>
    </customSheetView>
    <customSheetView guid="{3244BD90-1F1B-49B1-9805-E2AEEAC5DF7E}" filter="1" showAutoFilter="1">
      <autoFilter ref="$A$6:$G$20"/>
    </customSheetView>
    <customSheetView guid="{1C94B833-20B3-4B74-ACE6-0864EB8F8213}" filter="1" showAutoFilter="1">
      <autoFilter ref="$A$6:$G$20"/>
    </customSheetView>
    <customSheetView guid="{3D2377A7-7B9A-4DD0-8064-B35170BE2591}" filter="1" showAutoFilter="1">
      <autoFilter ref="$A$6:$G$20"/>
    </customSheetView>
    <customSheetView guid="{B340BCCB-2239-4F53-A7F5-8859E4CC659F}" filter="1" showAutoFilter="1">
      <autoFilter ref="$A$6:$G$20"/>
    </customSheetView>
    <customSheetView guid="{55429418-C5E5-48EC-BE8C-D5FCDB9B5FF0}" filter="1" showAutoFilter="1">
      <autoFilter ref="$A$6:$G$20"/>
    </customSheetView>
    <customSheetView guid="{0FE39A5F-C5C4-4C74-B50C-08D37C704852}" filter="1" showAutoFilter="1">
      <autoFilter ref="$A$6:$H$20"/>
    </customSheetView>
    <customSheetView guid="{B8F91280-5839-4824-9837-B33C2803B9C9}" filter="1" showAutoFilter="1">
      <autoFilter ref="$A$6:$G$20"/>
    </customSheetView>
    <customSheetView guid="{461316B6-17F5-406C-AD29-9E9E363CFA06}" filter="1" showAutoFilter="1">
      <autoFilter ref="$A$6:$G$20"/>
    </customSheetView>
    <customSheetView guid="{4CDEB16D-957F-46E0-B073-82BA58078811}" filter="1" showAutoFilter="1">
      <autoFilter ref="$A$6:$H$20"/>
    </customSheetView>
    <customSheetView guid="{4B942B8B-C855-402E-B1CA-C99DA2CDE73C}" filter="1" showAutoFilter="1">
      <autoFilter ref="$A$6:$G$20"/>
    </customSheetView>
    <customSheetView guid="{B995BA34-E10D-40AF-AA8C-B5692B2826B5}" filter="1" showAutoFilter="1">
      <autoFilter ref="$A$6:$G$20">
        <filterColumn colId="6">
          <filters/>
        </filterColumn>
      </autoFilter>
    </customSheetView>
    <customSheetView guid="{59693195-0373-46FB-A9CA-38C62EF18CBE}" filter="1" showAutoFilter="1">
      <autoFilter ref="$A$6:$G$20"/>
    </customSheetView>
    <customSheetView guid="{89D674A9-5E02-46F3-8EAE-C90AAEBD18CB}" filter="1" showAutoFilter="1">
      <autoFilter ref="$A$6:$G$20">
        <filterColumn colId="6">
          <filters blank="1"/>
        </filterColumn>
      </autoFilter>
    </customSheetView>
    <customSheetView guid="{8C74C9FC-D395-430E-9425-07E8EBD06DD9}" filter="1" showAutoFilter="1">
      <autoFilter ref="$A$6:$G$20"/>
    </customSheetView>
    <customSheetView guid="{28CBDBE6-D2F0-42B2-8EAC-A47764FF5CBC}" filter="1" showAutoFilter="1">
      <autoFilter ref="$A$6:$H$20">
        <filterColumn colId="5">
          <filters blank="1"/>
        </filterColumn>
        <filterColumn colId="6">
          <filters blank="1"/>
        </filterColumn>
      </autoFilter>
    </customSheetView>
    <customSheetView guid="{E011813A-1907-4E19-A9F9-B58EB77877E4}" filter="1" showAutoFilter="1">
      <autoFilter ref="$A$6:$G$20"/>
    </customSheetView>
    <customSheetView guid="{26145B14-D411-4703-A550-BC4D66DDB855}" filter="1" showAutoFilter="1">
      <autoFilter ref="$A$6:$G$20"/>
    </customSheetView>
    <customSheetView guid="{19BDEF7B-6167-46F4-96D1-80D9261FEA6F}" filter="1" showAutoFilter="1">
      <autoFilter ref="$A$6:$H$20">
        <filterColumn colId="6">
          <filters blank="1"/>
        </filterColumn>
      </autoFilter>
    </customSheetView>
    <customSheetView guid="{BE7EE906-3AC6-489B-8307-8DCF78AC4CC4}" filter="1" showAutoFilter="1">
      <autoFilter ref="$A$6:$G$20">
        <filterColumn colId="6">
          <filters blank="1"/>
        </filterColumn>
      </autoFilter>
    </customSheetView>
    <customSheetView guid="{03BA606A-9EF1-488F-B5B6-5F234A109122}" filter="1" showAutoFilter="1">
      <autoFilter ref="$A$6:$G$20"/>
    </customSheetView>
    <customSheetView guid="{41EC89E4-EEB1-42F9-9D42-62D67780E2D1}" filter="1" showAutoFilter="1">
      <autoFilter ref="$A$6:$G$20">
        <filterColumn colId="6">
          <filters blank="1"/>
        </filterColumn>
      </autoFilter>
    </customSheetView>
    <customSheetView guid="{D0F387BE-95CD-4215-B4D7-7CB6B328D750}" filter="1" showAutoFilter="1">
      <autoFilter ref="$A$6:$G$20"/>
    </customSheetView>
    <customSheetView guid="{29638FDE-F393-4482-95FA-94A7C29B2F6D}" filter="1" showAutoFilter="1">
      <autoFilter ref="$A$6:$G$20">
        <filterColumn colId="6">
          <filters blank="1"/>
        </filterColumn>
      </autoFilter>
    </customSheetView>
  </customSheetViews>
  <dataValidations>
    <dataValidation type="list" allowBlank="1" sqref="G7:G20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21.5"/>
    <col customWidth="1" min="5" max="5" width="16.63"/>
    <col customWidth="1" min="6" max="6" width="13.13"/>
    <col customWidth="1" min="7" max="8" width="15.25"/>
  </cols>
  <sheetData>
    <row r="1">
      <c r="A1" s="224"/>
      <c r="B1" s="224"/>
      <c r="C1" s="225">
        <v>1.0</v>
      </c>
      <c r="D1" s="226" t="s">
        <v>1321</v>
      </c>
      <c r="E1" s="227"/>
      <c r="F1" s="227"/>
      <c r="G1" s="16"/>
      <c r="H1" s="16"/>
    </row>
    <row r="2" hidden="1">
      <c r="A2" s="6" t="s">
        <v>0</v>
      </c>
      <c r="B2" s="231"/>
      <c r="C2" s="231"/>
      <c r="D2" s="231"/>
      <c r="E2" s="233"/>
      <c r="F2" s="233"/>
      <c r="G2" s="234"/>
      <c r="H2" s="55"/>
    </row>
    <row r="3">
      <c r="A3" s="235"/>
      <c r="B3" s="236"/>
      <c r="C3" s="236">
        <v>1.0</v>
      </c>
      <c r="D3" s="236"/>
      <c r="E3" s="238"/>
      <c r="F3" s="238"/>
      <c r="G3" s="234"/>
      <c r="H3" s="55"/>
    </row>
    <row r="4">
      <c r="A4" s="20"/>
      <c r="B4" s="249"/>
      <c r="C4" s="250"/>
      <c r="D4" s="250"/>
      <c r="E4" s="252"/>
      <c r="F4" s="252"/>
      <c r="G4" s="248"/>
      <c r="H4" s="17"/>
    </row>
    <row r="5">
      <c r="A5" s="26" t="s">
        <v>6</v>
      </c>
      <c r="B5" s="27" t="s">
        <v>6</v>
      </c>
      <c r="C5" s="255" t="s">
        <v>1324</v>
      </c>
      <c r="D5" s="255" t="s">
        <v>6</v>
      </c>
      <c r="E5" s="256" t="s">
        <v>1326</v>
      </c>
      <c r="F5" s="256" t="s">
        <v>1327</v>
      </c>
      <c r="G5" s="255" t="s">
        <v>12</v>
      </c>
      <c r="H5" s="12" t="s">
        <v>1328</v>
      </c>
    </row>
    <row r="6" hidden="1">
      <c r="A6" s="258">
        <v>362.0</v>
      </c>
      <c r="B6" s="259">
        <v>362.0</v>
      </c>
      <c r="C6" s="260">
        <v>1.0</v>
      </c>
      <c r="D6" s="260" t="str">
        <f>IFERROR(__xludf.DUMMYFUNCTION("if(B6&lt;=999,if(B6&lt;=99,IF(B6&lt;=9,join(,""000"",B6),join(,""00"",B6)),join(,""0"",B6)),B6)"),"0362")</f>
        <v>0362</v>
      </c>
      <c r="E6" s="263" t="str">
        <f>vlookup(B6,'Geotagging Master All-Training '!$A$2:$C$2474,2,false)</f>
        <v>#N/A</v>
      </c>
      <c r="F6" s="263" t="str">
        <f>vlookup(B6,'Geotagging Master All-Training '!$A$2:$C$2474,3,false)</f>
        <v>#N/A</v>
      </c>
      <c r="G6" s="265" t="s">
        <v>20</v>
      </c>
      <c r="H6" s="258"/>
    </row>
    <row r="7" hidden="1">
      <c r="A7" s="258">
        <v>1001.0</v>
      </c>
      <c r="B7" s="259">
        <v>1001.0</v>
      </c>
      <c r="C7" s="260">
        <v>2.0</v>
      </c>
      <c r="D7" s="260">
        <f>IFERROR(__xludf.DUMMYFUNCTION("if(B7&lt;=999,if(B7&lt;=99,IF(B7&lt;=9,join(,""000"",B7),join(,""00"",B7)),join(,""0"",B7)),B7)"),1001.0)</f>
        <v>1001</v>
      </c>
      <c r="E7" s="263" t="str">
        <f>vlookup(B7,'Geotagging Master All-Training '!$A$2:$C$2474,2,false)</f>
        <v>#N/A</v>
      </c>
      <c r="F7" s="263" t="str">
        <f>vlookup(B7,'Geotagging Master All-Training '!$A$2:$C$2474,3,false)</f>
        <v>#N/A</v>
      </c>
      <c r="G7" s="265" t="s">
        <v>20</v>
      </c>
      <c r="H7" s="258"/>
    </row>
    <row r="8" hidden="1">
      <c r="A8" s="258">
        <v>1120.0</v>
      </c>
      <c r="B8" s="259">
        <v>1120.0</v>
      </c>
      <c r="C8" s="260">
        <v>3.0</v>
      </c>
      <c r="D8" s="260">
        <f>IFERROR(__xludf.DUMMYFUNCTION("if(B8&lt;=999,if(B8&lt;=99,IF(B8&lt;=9,join(,""000"",B8),join(,""00"",B8)),join(,""0"",B8)),B8)"),1120.0)</f>
        <v>1120</v>
      </c>
      <c r="E8" s="263" t="str">
        <f>vlookup(B8,'Geotagging Master All-Training '!$A$2:$C$2474,2,false)</f>
        <v>#N/A</v>
      </c>
      <c r="F8" s="263" t="str">
        <f>vlookup(B8,'Geotagging Master All-Training '!$A$2:$C$2474,3,false)</f>
        <v>#N/A</v>
      </c>
      <c r="G8" s="265" t="s">
        <v>20</v>
      </c>
      <c r="H8" s="258"/>
    </row>
    <row r="9" hidden="1">
      <c r="A9" s="258">
        <v>222.0</v>
      </c>
      <c r="B9" s="259">
        <v>222.0</v>
      </c>
      <c r="C9" s="260">
        <v>4.0</v>
      </c>
      <c r="D9" s="260" t="str">
        <f>IFERROR(__xludf.DUMMYFUNCTION("if(B9&lt;=999,if(B9&lt;=99,IF(B9&lt;=9,join(,""000"",B9),join(,""00"",B9)),join(,""0"",B9)),B9)"),"0222")</f>
        <v>0222</v>
      </c>
      <c r="E9" s="263" t="str">
        <f>vlookup(B9,'Geotagging Master All-Training '!$A$2:$C$2474,2,false)</f>
        <v>#N/A</v>
      </c>
      <c r="F9" s="263" t="str">
        <f>vlookup(B9,'Geotagging Master All-Training '!$A$2:$C$2474,3,false)</f>
        <v>#N/A</v>
      </c>
      <c r="G9" s="265" t="s">
        <v>20</v>
      </c>
      <c r="H9" s="258"/>
    </row>
    <row r="10" hidden="1">
      <c r="A10" s="258">
        <v>417.0</v>
      </c>
      <c r="B10" s="259">
        <v>417.0</v>
      </c>
      <c r="C10" s="260">
        <v>5.0</v>
      </c>
      <c r="D10" s="260" t="str">
        <f>IFERROR(__xludf.DUMMYFUNCTION("if(B10&lt;=999,if(B10&lt;=99,IF(B10&lt;=9,join(,""000"",B10),join(,""00"",B10)),join(,""0"",B10)),B10)"),"0417")</f>
        <v>0417</v>
      </c>
      <c r="E10" s="263" t="str">
        <f>vlookup(B10,'Geotagging Master All-Training '!$A$2:$C$2474,2,false)</f>
        <v>#N/A</v>
      </c>
      <c r="F10" s="263" t="str">
        <f>vlookup(B10,'Geotagging Master All-Training '!$A$2:$C$2474,3,false)</f>
        <v>#N/A</v>
      </c>
      <c r="G10" s="265" t="s">
        <v>20</v>
      </c>
      <c r="H10" s="258"/>
    </row>
    <row r="11" hidden="1">
      <c r="A11" s="258">
        <v>884.0</v>
      </c>
      <c r="B11" s="259">
        <v>884.0</v>
      </c>
      <c r="C11" s="260">
        <v>6.0</v>
      </c>
      <c r="D11" s="260" t="str">
        <f>IFERROR(__xludf.DUMMYFUNCTION("if(B11&lt;=999,if(B11&lt;=99,IF(B11&lt;=9,join(,""000"",B11),join(,""00"",B11)),join(,""0"",B11)),B11)"),"0884")</f>
        <v>0884</v>
      </c>
      <c r="E11" s="263" t="str">
        <f>vlookup(B11,'Geotagging Master All-Training '!$A$2:$C$2474,2,false)</f>
        <v>#N/A</v>
      </c>
      <c r="F11" s="263" t="str">
        <f>vlookup(B11,'Geotagging Master All-Training '!$A$2:$C$2474,3,false)</f>
        <v>#N/A</v>
      </c>
      <c r="G11" s="265" t="s">
        <v>20</v>
      </c>
      <c r="H11" s="258"/>
    </row>
    <row r="12" hidden="1">
      <c r="A12" s="272">
        <v>1285.0</v>
      </c>
      <c r="B12" s="272">
        <v>1285.0</v>
      </c>
      <c r="C12" s="260">
        <v>7.0</v>
      </c>
      <c r="D12" s="273">
        <f>IFERROR(__xludf.DUMMYFUNCTION("if(B12&lt;=999,if(B12&lt;=99,IF(B12&lt;=9,join(,""000"",B12),join(,""00"",B12)),join(,""0"",B12)),B12)"),1285.0)</f>
        <v>1285</v>
      </c>
      <c r="E12" s="263" t="str">
        <f>vlookup(B12,'Geotagging Master All-Training '!$A$2:$C$2474,2,false)</f>
        <v>#N/A</v>
      </c>
      <c r="F12" s="263" t="str">
        <f>vlookup(B12,'Geotagging Master All-Training '!$A$2:$C$2474,3,false)</f>
        <v>#N/A</v>
      </c>
      <c r="G12" s="276" t="s">
        <v>20</v>
      </c>
      <c r="H12" s="272"/>
    </row>
    <row r="13" hidden="1">
      <c r="A13" s="258">
        <v>1220.0</v>
      </c>
      <c r="B13" s="259">
        <v>1220.0</v>
      </c>
      <c r="C13" s="260">
        <v>8.0</v>
      </c>
      <c r="D13" s="260">
        <f>IFERROR(__xludf.DUMMYFUNCTION("if(B13&lt;=999,if(B13&lt;=99,IF(B13&lt;=9,join(,""000"",B13),join(,""00"",B13)),join(,""0"",B13)),B13)"),1220.0)</f>
        <v>1220</v>
      </c>
      <c r="E13" s="263" t="str">
        <f>vlookup(B13,'Geotagging Master All-Training '!$A$2:$C$2474,2,false)</f>
        <v>#N/A</v>
      </c>
      <c r="F13" s="263" t="str">
        <f>vlookup(B13,'Geotagging Master All-Training '!$A$2:$C$2474,3,false)</f>
        <v>#N/A</v>
      </c>
      <c r="G13" s="265" t="s">
        <v>20</v>
      </c>
      <c r="H13" s="258"/>
    </row>
    <row r="14" hidden="1">
      <c r="A14" s="258">
        <v>55.0</v>
      </c>
      <c r="B14" s="259">
        <v>55.0</v>
      </c>
      <c r="C14" s="260">
        <v>9.0</v>
      </c>
      <c r="D14" s="260" t="str">
        <f>IFERROR(__xludf.DUMMYFUNCTION("if(B14&lt;=999,if(B14&lt;=99,IF(B14&lt;=9,join(,""000"",B14),join(,""00"",B14)),join(,""0"",B14)),B14)"),"0055")</f>
        <v>0055</v>
      </c>
      <c r="E14" s="263" t="str">
        <f>vlookup(B14,'Geotagging Master All-Training '!$A$2:$C$2474,2,false)</f>
        <v>#N/A</v>
      </c>
      <c r="F14" s="263" t="str">
        <f>vlookup(B14,'Geotagging Master All-Training '!$A$2:$C$2474,3,false)</f>
        <v>#N/A</v>
      </c>
      <c r="G14" s="265" t="s">
        <v>20</v>
      </c>
      <c r="H14" s="258"/>
    </row>
    <row r="15" hidden="1">
      <c r="A15" s="258">
        <v>223.0</v>
      </c>
      <c r="B15" s="258">
        <v>223.0</v>
      </c>
      <c r="C15" s="260">
        <v>10.0</v>
      </c>
      <c r="D15" s="260" t="str">
        <f>IFERROR(__xludf.DUMMYFUNCTION("if(B15&lt;=999,if(B15&lt;=99,IF(B15&lt;=9,join(,""000"",B15),join(,""00"",B15)),join(,""0"",B15)),B15)"),"0223")</f>
        <v>0223</v>
      </c>
      <c r="E15" s="263" t="str">
        <f>vlookup(B15,'Geotagging Master All-Training '!$A$2:$C$2474,2,false)</f>
        <v>#N/A</v>
      </c>
      <c r="F15" s="263" t="str">
        <f>vlookup(B15,'Geotagging Master All-Training '!$A$2:$C$2474,3,false)</f>
        <v>#N/A</v>
      </c>
      <c r="G15" s="265" t="s">
        <v>20</v>
      </c>
      <c r="H15" s="258"/>
    </row>
    <row r="16" hidden="1">
      <c r="A16" s="258">
        <v>1067.0</v>
      </c>
      <c r="B16" s="258">
        <v>1067.0</v>
      </c>
      <c r="C16" s="260">
        <v>11.0</v>
      </c>
      <c r="D16" s="260">
        <f>IFERROR(__xludf.DUMMYFUNCTION("if(B16&lt;=999,if(B16&lt;=99,IF(B16&lt;=9,join(,""000"",B16),join(,""00"",B16)),join(,""0"",B16)),B16)"),1067.0)</f>
        <v>1067</v>
      </c>
      <c r="E16" s="263" t="str">
        <f>vlookup(B16,'Geotagging Master All-Training '!$A$2:$C$2474,2,false)</f>
        <v>#N/A</v>
      </c>
      <c r="F16" s="263" t="str">
        <f>vlookup(B16,'Geotagging Master All-Training '!$A$2:$C$2474,3,false)</f>
        <v>#N/A</v>
      </c>
      <c r="G16" s="265" t="s">
        <v>20</v>
      </c>
      <c r="H16" s="258"/>
    </row>
    <row r="17" hidden="1">
      <c r="A17" s="258">
        <v>29.0</v>
      </c>
      <c r="B17" s="258">
        <v>29.0</v>
      </c>
      <c r="C17" s="260">
        <v>13.0</v>
      </c>
      <c r="D17" s="260" t="str">
        <f>IFERROR(__xludf.DUMMYFUNCTION("if(B17&lt;=999,if(B17&lt;=99,IF(B17&lt;=9,join(,""000"",B17),join(,""00"",B17)),join(,""0"",B17)),B17)"),"0029")</f>
        <v>0029</v>
      </c>
      <c r="E17" s="263" t="str">
        <f>vlookup(B17,'Geotagging Master All-Training '!$A$2:$C$2474,2,false)</f>
        <v>#N/A</v>
      </c>
      <c r="F17" s="263" t="str">
        <f>vlookup(B17,'Geotagging Master All-Training '!$A$2:$C$2474,3,false)</f>
        <v>#N/A</v>
      </c>
      <c r="G17" s="265" t="s">
        <v>20</v>
      </c>
      <c r="H17" s="258"/>
    </row>
    <row r="18" hidden="1">
      <c r="A18" s="258">
        <v>1211.0</v>
      </c>
      <c r="B18" s="258">
        <v>1211.0</v>
      </c>
      <c r="C18" s="260">
        <v>14.0</v>
      </c>
      <c r="D18" s="260">
        <f>IFERROR(__xludf.DUMMYFUNCTION("if(B18&lt;=999,if(B18&lt;=99,IF(B18&lt;=9,join(,""000"",B18),join(,""00"",B18)),join(,""0"",B18)),B18)"),1211.0)</f>
        <v>1211</v>
      </c>
      <c r="E18" s="263" t="str">
        <f>vlookup(B18,'Geotagging Master All-Training '!$A$2:$C$2474,2,false)</f>
        <v>#N/A</v>
      </c>
      <c r="F18" s="263" t="str">
        <f>vlookup(B18,'Geotagging Master All-Training '!$A$2:$C$2474,3,false)</f>
        <v>#N/A</v>
      </c>
      <c r="G18" s="265" t="s">
        <v>20</v>
      </c>
      <c r="H18" s="258"/>
    </row>
    <row r="19" hidden="1">
      <c r="A19" s="258">
        <v>1031.0</v>
      </c>
      <c r="B19" s="258">
        <v>1031.0</v>
      </c>
      <c r="C19" s="260">
        <v>15.0</v>
      </c>
      <c r="D19" s="260">
        <f>IFERROR(__xludf.DUMMYFUNCTION("if(B19&lt;=999,if(B19&lt;=99,IF(B19&lt;=9,join(,""000"",B19),join(,""00"",B19)),join(,""0"",B19)),B19)"),1031.0)</f>
        <v>1031</v>
      </c>
      <c r="E19" s="263" t="str">
        <f>vlookup(B19,'Geotagging Master All-Training '!$A$2:$C$2474,2,false)</f>
        <v>#N/A</v>
      </c>
      <c r="F19" s="263" t="str">
        <f>vlookup(B19,'Geotagging Master All-Training '!$A$2:$C$2474,3,false)</f>
        <v>#N/A</v>
      </c>
      <c r="G19" s="265" t="s">
        <v>20</v>
      </c>
      <c r="H19" s="258"/>
    </row>
    <row r="20" hidden="1">
      <c r="A20" s="258">
        <v>1082.0</v>
      </c>
      <c r="B20" s="258">
        <v>1082.0</v>
      </c>
      <c r="C20" s="260">
        <v>16.0</v>
      </c>
      <c r="D20" s="260">
        <f>IFERROR(__xludf.DUMMYFUNCTION("if(B20&lt;=999,if(B20&lt;=99,IF(B20&lt;=9,join(,""000"",B20),join(,""00"",B20)),join(,""0"",B20)),B20)"),1082.0)</f>
        <v>1082</v>
      </c>
      <c r="E20" s="263" t="str">
        <f>vlookup(B20,'Geotagging Master All-Training '!$A$2:$C$2474,2,false)</f>
        <v>#N/A</v>
      </c>
      <c r="F20" s="263" t="str">
        <f>vlookup(B20,'Geotagging Master All-Training '!$A$2:$C$2474,3,false)</f>
        <v>#N/A</v>
      </c>
      <c r="G20" s="265" t="s">
        <v>20</v>
      </c>
      <c r="H20" s="258"/>
    </row>
    <row r="21" hidden="1">
      <c r="A21" s="258">
        <v>245.0</v>
      </c>
      <c r="B21" s="259">
        <v>245.0</v>
      </c>
      <c r="C21" s="260">
        <v>17.0</v>
      </c>
      <c r="D21" s="260" t="str">
        <f>IFERROR(__xludf.DUMMYFUNCTION("if(B21&lt;=999,if(B21&lt;=99,IF(B21&lt;=9,join(,""000"",B21),join(,""00"",B21)),join(,""0"",B21)),B21)"),"0245")</f>
        <v>0245</v>
      </c>
      <c r="E21" s="263" t="str">
        <f>vlookup(B21,'Geotagging Master All-Training '!$A$2:$C$2474,2,false)</f>
        <v>#N/A</v>
      </c>
      <c r="F21" s="263" t="str">
        <f>vlookup(B21,'Geotagging Master All-Training '!$A$2:$C$2474,3,false)</f>
        <v>#N/A</v>
      </c>
      <c r="G21" s="265" t="s">
        <v>20</v>
      </c>
      <c r="H21" s="258"/>
    </row>
    <row r="22" hidden="1">
      <c r="A22" s="258">
        <v>40.0</v>
      </c>
      <c r="B22" s="259">
        <v>40.0</v>
      </c>
      <c r="C22" s="260">
        <v>18.0</v>
      </c>
      <c r="D22" s="260" t="str">
        <f>IFERROR(__xludf.DUMMYFUNCTION("if(B22&lt;=999,if(B22&lt;=99,IF(B22&lt;=9,join(,""000"",B22),join(,""00"",B22)),join(,""0"",B22)),B22)"),"0040")</f>
        <v>0040</v>
      </c>
      <c r="E22" s="263" t="str">
        <f>vlookup(B22,'Geotagging Master All-Training '!$A$2:$C$2474,2,false)</f>
        <v>#N/A</v>
      </c>
      <c r="F22" s="263" t="str">
        <f>vlookup(B22,'Geotagging Master All-Training '!$A$2:$C$2474,3,false)</f>
        <v>#N/A</v>
      </c>
      <c r="G22" s="265" t="s">
        <v>20</v>
      </c>
      <c r="H22" s="258"/>
    </row>
    <row r="23" hidden="1">
      <c r="A23" s="272">
        <v>39.0</v>
      </c>
      <c r="B23" s="272">
        <v>39.0</v>
      </c>
      <c r="C23" s="260">
        <v>19.0</v>
      </c>
      <c r="D23" s="273" t="str">
        <f>IFERROR(__xludf.DUMMYFUNCTION("if(B23&lt;=999,if(B23&lt;=99,IF(B23&lt;=9,join(,""000"",B23),join(,""00"",B23)),join(,""0"",B23)),B23)"),"0039")</f>
        <v>0039</v>
      </c>
      <c r="E23" s="263" t="str">
        <f>vlookup(B23,'Geotagging Master All-Training '!$A$2:$C$2474,2,false)</f>
        <v>#N/A</v>
      </c>
      <c r="F23" s="263" t="str">
        <f>vlookup(B23,'Geotagging Master All-Training '!$A$2:$C$2474,3,false)</f>
        <v>#N/A</v>
      </c>
      <c r="G23" s="276" t="s">
        <v>20</v>
      </c>
      <c r="H23" s="272"/>
    </row>
    <row r="24" hidden="1">
      <c r="A24" s="272">
        <v>86.0</v>
      </c>
      <c r="B24" s="272">
        <v>86.0</v>
      </c>
      <c r="C24" s="260">
        <v>20.0</v>
      </c>
      <c r="D24" s="273" t="str">
        <f>IFERROR(__xludf.DUMMYFUNCTION("if(B24&lt;=999,if(B24&lt;=99,IF(B24&lt;=9,join(,""000"",B24),join(,""00"",B24)),join(,""0"",B24)),B24)"),"0086")</f>
        <v>0086</v>
      </c>
      <c r="E24" s="263" t="str">
        <f>vlookup(B24,'Geotagging Master All-Training '!$A$2:$C$2474,2,false)</f>
        <v>#N/A</v>
      </c>
      <c r="F24" s="263" t="str">
        <f>vlookup(B24,'Geotagging Master All-Training '!$A$2:$C$2474,3,false)</f>
        <v>#N/A</v>
      </c>
      <c r="G24" s="276" t="s">
        <v>20</v>
      </c>
      <c r="H24" s="272"/>
    </row>
    <row r="25">
      <c r="A25" s="272">
        <v>59.0</v>
      </c>
      <c r="B25" s="272">
        <v>59.0</v>
      </c>
      <c r="C25" s="273"/>
      <c r="D25" s="273"/>
      <c r="E25" s="303"/>
      <c r="F25" s="303"/>
      <c r="G25" s="276"/>
      <c r="H25" s="273"/>
    </row>
    <row r="26" hidden="1">
      <c r="A26" s="258">
        <v>466.0</v>
      </c>
      <c r="B26" s="258">
        <v>466.0</v>
      </c>
      <c r="C26" s="260">
        <v>22.0</v>
      </c>
      <c r="D26" s="260" t="str">
        <f>IFERROR(__xludf.DUMMYFUNCTION("if(B26&lt;=999,if(B26&lt;=99,IF(B26&lt;=9,join(,""000"",B26),join(,""00"",B26)),join(,""0"",B26)),B26)"),"0466")</f>
        <v>0466</v>
      </c>
      <c r="E26" s="263" t="str">
        <f>vlookup(B26,'Geotagging Master All-Training '!$A$2:$C$2474,2,false)</f>
        <v>#N/A</v>
      </c>
      <c r="F26" s="263" t="str">
        <f>vlookup(B26,'Geotagging Master All-Training '!$A$2:$C$2474,3,false)</f>
        <v>#N/A</v>
      </c>
      <c r="G26" s="265" t="s">
        <v>20</v>
      </c>
      <c r="H26" s="258"/>
    </row>
    <row r="27" hidden="1">
      <c r="A27" s="258">
        <v>46.0</v>
      </c>
      <c r="B27" s="258">
        <v>46.0</v>
      </c>
      <c r="C27" s="260">
        <v>23.0</v>
      </c>
      <c r="D27" s="260" t="str">
        <f>IFERROR(__xludf.DUMMYFUNCTION("if(B27&lt;=999,if(B27&lt;=99,IF(B27&lt;=9,join(,""000"",B27),join(,""00"",B27)),join(,""0"",B27)),B27)"),"0046")</f>
        <v>0046</v>
      </c>
      <c r="E27" s="263" t="str">
        <f>vlookup(B27,'Geotagging Master All-Training '!$A$2:$C$2474,2,false)</f>
        <v>#N/A</v>
      </c>
      <c r="F27" s="263" t="str">
        <f>vlookup(B27,'Geotagging Master All-Training '!$A$2:$C$2474,3,false)</f>
        <v>#N/A</v>
      </c>
      <c r="G27" s="265" t="s">
        <v>20</v>
      </c>
      <c r="H27" s="258"/>
    </row>
    <row r="28" hidden="1">
      <c r="A28" s="305">
        <v>1088.0</v>
      </c>
      <c r="B28" s="305">
        <v>1088.0</v>
      </c>
      <c r="C28" s="260">
        <v>24.0</v>
      </c>
      <c r="D28" s="306">
        <f>IFERROR(__xludf.DUMMYFUNCTION("if(B28&lt;=999,if(B28&lt;=99,IF(B28&lt;=9,join(,""000"",B28),join(,""00"",B28)),join(,""0"",B28)),B28)"),1088.0)</f>
        <v>1088</v>
      </c>
      <c r="E28" s="263" t="str">
        <f>vlookup(B28,'Geotagging Master All-Training '!$A$2:$C$2474,2,false)</f>
        <v>#N/A</v>
      </c>
      <c r="F28" s="263" t="str">
        <f>vlookup(B28,'Geotagging Master All-Training '!$A$2:$C$2474,3,false)</f>
        <v>#N/A</v>
      </c>
      <c r="G28" s="308" t="s">
        <v>20</v>
      </c>
      <c r="H28" s="305"/>
    </row>
    <row r="29" hidden="1">
      <c r="A29" s="258">
        <v>347.0</v>
      </c>
      <c r="B29" s="258">
        <v>347.0</v>
      </c>
      <c r="C29" s="260">
        <v>25.0</v>
      </c>
      <c r="D29" s="260" t="str">
        <f>IFERROR(__xludf.DUMMYFUNCTION("if(B29&lt;=999,if(B29&lt;=99,IF(B29&lt;=9,join(,""000"",B29),join(,""00"",B29)),join(,""0"",B29)),B29)"),"0347")</f>
        <v>0347</v>
      </c>
      <c r="E29" s="263" t="str">
        <f>vlookup(B29,'Geotagging Master All-Training '!$A$2:$C$2474,2,false)</f>
        <v>#N/A</v>
      </c>
      <c r="F29" s="263" t="str">
        <f>vlookup(B29,'Geotagging Master All-Training '!$A$2:$C$2474,3,false)</f>
        <v>#N/A</v>
      </c>
      <c r="G29" s="265" t="s">
        <v>20</v>
      </c>
      <c r="H29" s="258"/>
    </row>
    <row r="30" hidden="1">
      <c r="A30" s="258">
        <v>686.0</v>
      </c>
      <c r="B30" s="258">
        <v>686.0</v>
      </c>
      <c r="C30" s="260">
        <v>26.0</v>
      </c>
      <c r="D30" s="260" t="str">
        <f>IFERROR(__xludf.DUMMYFUNCTION("if(B30&lt;=999,if(B30&lt;=99,IF(B30&lt;=9,join(,""000"",B30),join(,""00"",B30)),join(,""0"",B30)),B30)"),"0686")</f>
        <v>0686</v>
      </c>
      <c r="E30" s="263" t="str">
        <f>vlookup(B30,'Geotagging Master All-Training '!$A$2:$C$2474,2,false)</f>
        <v>#N/A</v>
      </c>
      <c r="F30" s="263" t="str">
        <f>vlookup(B30,'Geotagging Master All-Training '!$A$2:$C$2474,3,false)</f>
        <v>#N/A</v>
      </c>
      <c r="G30" s="265" t="s">
        <v>20</v>
      </c>
      <c r="H30" s="258"/>
    </row>
    <row r="31" hidden="1">
      <c r="A31" s="258">
        <v>232.0</v>
      </c>
      <c r="B31" s="259">
        <v>232.0</v>
      </c>
      <c r="C31" s="260">
        <v>27.0</v>
      </c>
      <c r="D31" s="260" t="str">
        <f>IFERROR(__xludf.DUMMYFUNCTION("if(B31&lt;=999,if(B31&lt;=99,IF(B31&lt;=9,join(,""000"",B31),join(,""00"",B31)),join(,""0"",B31)),B31)"),"0232")</f>
        <v>0232</v>
      </c>
      <c r="E31" s="263" t="str">
        <f>vlookup(B31,'Geotagging Master All-Training '!$A$2:$C$2474,2,false)</f>
        <v>#N/A</v>
      </c>
      <c r="F31" s="263" t="str">
        <f>vlookup(B31,'Geotagging Master All-Training '!$A$2:$C$2474,3,false)</f>
        <v>#N/A</v>
      </c>
      <c r="G31" s="265" t="s">
        <v>20</v>
      </c>
      <c r="H31" s="258"/>
    </row>
    <row r="32" hidden="1">
      <c r="A32" s="258">
        <v>802.0</v>
      </c>
      <c r="B32" s="258">
        <v>802.0</v>
      </c>
      <c r="C32" s="260">
        <v>28.0</v>
      </c>
      <c r="D32" s="260" t="str">
        <f>IFERROR(__xludf.DUMMYFUNCTION("if(B32&lt;=999,if(B32&lt;=99,IF(B32&lt;=9,join(,""000"",B32),join(,""00"",B32)),join(,""0"",B32)),B32)"),"0802")</f>
        <v>0802</v>
      </c>
      <c r="E32" s="263" t="str">
        <f>vlookup(B32,'Geotagging Master All-Training '!$A$2:$C$2474,2,false)</f>
        <v>#N/A</v>
      </c>
      <c r="F32" s="263" t="str">
        <f>vlookup(B32,'Geotagging Master All-Training '!$A$2:$C$2474,3,false)</f>
        <v>#N/A</v>
      </c>
      <c r="G32" s="265" t="s">
        <v>20</v>
      </c>
      <c r="H32" s="258"/>
    </row>
    <row r="33" hidden="1">
      <c r="A33" s="258">
        <v>1255.0</v>
      </c>
      <c r="B33" s="258">
        <v>1255.0</v>
      </c>
      <c r="C33" s="260">
        <v>29.0</v>
      </c>
      <c r="D33" s="260">
        <f>IFERROR(__xludf.DUMMYFUNCTION("if(B33&lt;=999,if(B33&lt;=99,IF(B33&lt;=9,join(,""000"",B33),join(,""00"",B33)),join(,""0"",B33)),B33)"),1255.0)</f>
        <v>1255</v>
      </c>
      <c r="E33" s="263" t="str">
        <f>vlookup(B33,'Geotagging Master All-Training '!$A$2:$C$2474,2,false)</f>
        <v>#N/A</v>
      </c>
      <c r="F33" s="263" t="str">
        <f>vlookup(B33,'Geotagging Master All-Training '!$A$2:$C$2474,3,false)</f>
        <v>#N/A</v>
      </c>
      <c r="G33" s="265" t="s">
        <v>20</v>
      </c>
      <c r="H33" s="258"/>
    </row>
    <row r="34" hidden="1">
      <c r="A34" s="258">
        <v>1205.0</v>
      </c>
      <c r="B34" s="258">
        <v>1205.0</v>
      </c>
      <c r="C34" s="260">
        <v>30.0</v>
      </c>
      <c r="D34" s="260">
        <f>IFERROR(__xludf.DUMMYFUNCTION("if(B34&lt;=999,if(B34&lt;=99,IF(B34&lt;=9,join(,""000"",B34),join(,""00"",B34)),join(,""0"",B34)),B34)"),1205.0)</f>
        <v>1205</v>
      </c>
      <c r="E34" s="263" t="str">
        <f>vlookup(B34,'Geotagging Master All-Training '!$A$2:$C$2474,2,false)</f>
        <v>#N/A</v>
      </c>
      <c r="F34" s="263" t="str">
        <f>vlookup(B34,'Geotagging Master All-Training '!$A$2:$C$2474,3,false)</f>
        <v>#N/A</v>
      </c>
      <c r="G34" s="265" t="s">
        <v>20</v>
      </c>
      <c r="H34" s="258"/>
    </row>
    <row r="35" hidden="1">
      <c r="A35" s="258">
        <v>1353.0</v>
      </c>
      <c r="B35" s="258">
        <v>1353.0</v>
      </c>
      <c r="C35" s="260">
        <v>31.0</v>
      </c>
      <c r="D35" s="260"/>
      <c r="E35" s="263" t="str">
        <f>vlookup(B35,'Geotagging Master All-Training '!$A$2:$C$2474,2,false)</f>
        <v>#N/A</v>
      </c>
      <c r="F35" s="263" t="str">
        <f>vlookup(B35,'Geotagging Master All-Training '!$A$2:$C$2474,3,false)</f>
        <v>#N/A</v>
      </c>
      <c r="G35" s="265" t="s">
        <v>20</v>
      </c>
      <c r="H35" s="258"/>
    </row>
    <row r="36">
      <c r="A36" s="272">
        <v>1383.0</v>
      </c>
      <c r="B36" s="272">
        <v>1383.0</v>
      </c>
      <c r="C36" s="273"/>
      <c r="D36" s="273"/>
      <c r="E36" s="303"/>
      <c r="F36" s="303"/>
      <c r="G36" s="276"/>
      <c r="H36" s="273"/>
    </row>
    <row r="37" hidden="1">
      <c r="A37" s="258">
        <v>757.0</v>
      </c>
      <c r="B37" s="258">
        <v>757.0</v>
      </c>
      <c r="C37" s="260">
        <v>33.0</v>
      </c>
      <c r="D37" s="260" t="str">
        <f>IFERROR(__xludf.DUMMYFUNCTION("if(B37&lt;=999,if(B37&lt;=99,IF(B37&lt;=9,join(,""000"",B37),join(,""00"",B37)),join(,""0"",B37)),B37)"),"0757")</f>
        <v>0757</v>
      </c>
      <c r="E37" s="263" t="str">
        <f>vlookup(B37,'Geotagging Master All-Training '!$A$2:$C$2474,2,false)</f>
        <v>#N/A</v>
      </c>
      <c r="F37" s="263" t="str">
        <f>vlookup(B37,'Geotagging Master All-Training '!$A$2:$C$2474,3,false)</f>
        <v>#N/A</v>
      </c>
      <c r="G37" s="265" t="s">
        <v>20</v>
      </c>
      <c r="H37" s="258"/>
    </row>
    <row r="38" hidden="1">
      <c r="A38" s="258">
        <v>1376.0</v>
      </c>
      <c r="B38" s="258">
        <v>1376.0</v>
      </c>
      <c r="C38" s="260">
        <v>34.0</v>
      </c>
      <c r="D38" s="260">
        <f>IFERROR(__xludf.DUMMYFUNCTION("if(B38&lt;=999,if(B38&lt;=99,IF(B38&lt;=9,join(,""000"",B38),join(,""00"",B38)),join(,""0"",B38)),B38)"),1376.0)</f>
        <v>1376</v>
      </c>
      <c r="E38" s="263" t="str">
        <f>vlookup(B38,'Geotagging Master All-Training '!$A$2:$C$2474,2,false)</f>
        <v>#N/A</v>
      </c>
      <c r="F38" s="263" t="str">
        <f>vlookup(B38,'Geotagging Master All-Training '!$A$2:$C$2474,3,false)</f>
        <v>#N/A</v>
      </c>
      <c r="G38" s="265" t="s">
        <v>20</v>
      </c>
      <c r="H38" s="258"/>
    </row>
    <row r="39" hidden="1">
      <c r="A39" s="272">
        <v>1018.0</v>
      </c>
      <c r="B39" s="272">
        <v>1018.0</v>
      </c>
      <c r="C39" s="260">
        <v>35.0</v>
      </c>
      <c r="D39" s="273">
        <f>IFERROR(__xludf.DUMMYFUNCTION("if(B39&lt;=999,if(B39&lt;=99,IF(B39&lt;=9,join(,""000"",B39),join(,""00"",B39)),join(,""0"",B39)),B39)"),1018.0)</f>
        <v>1018</v>
      </c>
      <c r="E39" s="263" t="str">
        <f>vlookup(B39,'Geotagging Master All-Training '!$A$2:$C$2474,2,false)</f>
        <v>#N/A</v>
      </c>
      <c r="F39" s="263" t="str">
        <f>vlookup(B39,'Geotagging Master All-Training '!$A$2:$C$2474,3,false)</f>
        <v>#N/A</v>
      </c>
      <c r="G39" s="276" t="s">
        <v>20</v>
      </c>
      <c r="H39" s="272"/>
    </row>
    <row r="40" hidden="1">
      <c r="A40" s="258">
        <v>287.0</v>
      </c>
      <c r="B40" s="259">
        <v>287.0</v>
      </c>
      <c r="C40" s="260">
        <v>36.0</v>
      </c>
      <c r="D40" s="260" t="str">
        <f>IFERROR(__xludf.DUMMYFUNCTION("if(B40&lt;=999,if(B40&lt;=99,IF(B40&lt;=9,join(,""000"",B40),join(,""00"",B40)),join(,""0"",B40)),B40)"),"0287")</f>
        <v>0287</v>
      </c>
      <c r="E40" s="263" t="str">
        <f>vlookup(B40,'Geotagging Master All-Training '!$A$2:$C$2474,2,false)</f>
        <v>#N/A</v>
      </c>
      <c r="F40" s="263" t="str">
        <f>vlookup(B40,'Geotagging Master All-Training '!$A$2:$C$2474,3,false)</f>
        <v>#N/A</v>
      </c>
      <c r="G40" s="265" t="s">
        <v>20</v>
      </c>
      <c r="H40" s="258"/>
    </row>
    <row r="41" hidden="1">
      <c r="A41" s="258">
        <v>1414.0</v>
      </c>
      <c r="B41" s="259">
        <v>1414.0</v>
      </c>
      <c r="C41" s="260">
        <v>37.0</v>
      </c>
      <c r="D41" s="260">
        <f>IFERROR(__xludf.DUMMYFUNCTION("if(B41&lt;=999,if(B41&lt;=99,IF(B41&lt;=9,join(,""000"",B41),join(,""00"",B41)),join(,""0"",B41)),B41)"),1414.0)</f>
        <v>1414</v>
      </c>
      <c r="E41" s="263" t="str">
        <f>vlookup(B41,'Geotagging Master All-Training '!$A$2:$C$2474,2,false)</f>
        <v>#N/A</v>
      </c>
      <c r="F41" s="263" t="str">
        <f>vlookup(B41,'Geotagging Master All-Training '!$A$2:$C$2474,3,false)</f>
        <v>#N/A</v>
      </c>
      <c r="G41" s="265" t="s">
        <v>20</v>
      </c>
      <c r="H41" s="258"/>
    </row>
    <row r="42" hidden="1">
      <c r="A42" s="258">
        <v>1430.0</v>
      </c>
      <c r="B42" s="259">
        <v>1430.0</v>
      </c>
      <c r="C42" s="260">
        <v>38.0</v>
      </c>
      <c r="D42" s="260">
        <f>IFERROR(__xludf.DUMMYFUNCTION("if(B42&lt;=999,if(B42&lt;=99,IF(B42&lt;=9,join(,""000"",B42),join(,""00"",B42)),join(,""0"",B42)),B42)"),1430.0)</f>
        <v>1430</v>
      </c>
      <c r="E42" s="263" t="str">
        <f>vlookup(B42,'Geotagging Master All-Training '!$A$2:$C$2474,2,false)</f>
        <v>#N/A</v>
      </c>
      <c r="F42" s="263" t="str">
        <f>vlookup(B42,'Geotagging Master All-Training '!$A$2:$C$2474,3,false)</f>
        <v>#N/A</v>
      </c>
      <c r="G42" s="265" t="s">
        <v>20</v>
      </c>
      <c r="H42" s="258"/>
    </row>
    <row r="43" hidden="1">
      <c r="A43" s="258">
        <v>1418.0</v>
      </c>
      <c r="B43" s="258">
        <v>1418.0</v>
      </c>
      <c r="C43" s="260">
        <v>39.0</v>
      </c>
      <c r="D43" s="260">
        <f>IFERROR(__xludf.DUMMYFUNCTION("if(B43&lt;=999,if(B43&lt;=99,IF(B43&lt;=9,join(,""000"",B43),join(,""00"",B43)),join(,""0"",B43)),B43)"),1418.0)</f>
        <v>1418</v>
      </c>
      <c r="E43" s="263" t="str">
        <f>vlookup(B43,'Geotagging Master All-Training '!$A$2:$C$2474,2,false)</f>
        <v>#N/A</v>
      </c>
      <c r="F43" s="263" t="str">
        <f>vlookup(B43,'Geotagging Master All-Training '!$A$2:$C$2474,3,false)</f>
        <v>#N/A</v>
      </c>
      <c r="G43" s="265" t="s">
        <v>20</v>
      </c>
      <c r="H43" s="258"/>
    </row>
    <row r="44" hidden="1">
      <c r="A44" s="258">
        <v>1254.0</v>
      </c>
      <c r="B44" s="258">
        <v>1254.0</v>
      </c>
      <c r="C44" s="260">
        <v>40.0</v>
      </c>
      <c r="D44" s="260">
        <f>IFERROR(__xludf.DUMMYFUNCTION("if(B44&lt;=999,if(B44&lt;=99,IF(B44&lt;=9,join(,""000"",B44),join(,""00"",B44)),join(,""0"",B44)),B44)"),1254.0)</f>
        <v>1254</v>
      </c>
      <c r="E44" s="263" t="str">
        <f>vlookup(B44,'Geotagging Master All-Training '!$A$2:$C$2474,2,false)</f>
        <v>#N/A</v>
      </c>
      <c r="F44" s="263" t="str">
        <f>vlookup(B44,'Geotagging Master All-Training '!$A$2:$C$2474,3,false)</f>
        <v>#N/A</v>
      </c>
      <c r="G44" s="265" t="s">
        <v>20</v>
      </c>
      <c r="H44" s="258"/>
    </row>
    <row r="45" hidden="1">
      <c r="A45" s="258">
        <v>1098.0</v>
      </c>
      <c r="B45" s="259">
        <v>1098.0</v>
      </c>
      <c r="C45" s="260">
        <v>41.0</v>
      </c>
      <c r="D45" s="260">
        <f>IFERROR(__xludf.DUMMYFUNCTION("if(B45&lt;=999,if(B45&lt;=99,IF(B45&lt;=9,join(,""000"",B45),join(,""00"",B45)),join(,""0"",B45)),B45)"),1098.0)</f>
        <v>1098</v>
      </c>
      <c r="E45" s="263" t="str">
        <f>vlookup(B45,'Geotagging Master All-Training '!$A$2:$C$2474,2,false)</f>
        <v>#N/A</v>
      </c>
      <c r="F45" s="263" t="str">
        <f>vlookup(B45,'Geotagging Master All-Training '!$A$2:$C$2474,3,false)</f>
        <v>#N/A</v>
      </c>
      <c r="G45" s="265" t="s">
        <v>20</v>
      </c>
      <c r="H45" s="258"/>
    </row>
    <row r="46" hidden="1">
      <c r="A46" s="258">
        <v>1024.0</v>
      </c>
      <c r="B46" s="258">
        <v>1024.0</v>
      </c>
      <c r="C46" s="260">
        <v>42.0</v>
      </c>
      <c r="D46" s="260">
        <f>IFERROR(__xludf.DUMMYFUNCTION("if(B46&lt;=999,if(B46&lt;=99,IF(B46&lt;=9,join(,""000"",B46),join(,""00"",B46)),join(,""0"",B46)),B46)"),1024.0)</f>
        <v>1024</v>
      </c>
      <c r="E46" s="263" t="str">
        <f>vlookup(B46,'Geotagging Master All-Training '!$A$2:$C$2474,2,false)</f>
        <v>#N/A</v>
      </c>
      <c r="F46" s="263" t="str">
        <f>vlookup(B46,'Geotagging Master All-Training '!$A$2:$C$2474,3,false)</f>
        <v>#N/A</v>
      </c>
      <c r="G46" s="265" t="s">
        <v>20</v>
      </c>
      <c r="H46" s="258"/>
    </row>
    <row r="47" hidden="1">
      <c r="A47" s="258">
        <v>344.0</v>
      </c>
      <c r="B47" s="258">
        <v>344.0</v>
      </c>
      <c r="C47" s="260">
        <v>43.0</v>
      </c>
      <c r="D47" s="260" t="str">
        <f>IFERROR(__xludf.DUMMYFUNCTION("if(B47&lt;=999,if(B47&lt;=99,IF(B47&lt;=9,join(,""000"",B47),join(,""00"",B47)),join(,""0"",B47)),B47)"),"0344")</f>
        <v>0344</v>
      </c>
      <c r="E47" s="263" t="str">
        <f>vlookup(B47,'Geotagging Master All-Training '!$A$2:$C$2474,2,false)</f>
        <v>#N/A</v>
      </c>
      <c r="F47" s="263" t="str">
        <f>vlookup(B47,'Geotagging Master All-Training '!$A$2:$C$2474,3,false)</f>
        <v>#N/A</v>
      </c>
      <c r="G47" s="265" t="s">
        <v>20</v>
      </c>
      <c r="H47" s="258"/>
    </row>
    <row r="48" hidden="1">
      <c r="A48" s="272">
        <v>1194.0</v>
      </c>
      <c r="B48" s="272">
        <v>1194.0</v>
      </c>
      <c r="C48" s="260">
        <v>44.0</v>
      </c>
      <c r="D48" s="273">
        <f>IFERROR(__xludf.DUMMYFUNCTION("if(B48&lt;=999,if(B48&lt;=99,IF(B48&lt;=9,join(,""000"",B48),join(,""00"",B48)),join(,""0"",B48)),B48)"),1194.0)</f>
        <v>1194</v>
      </c>
      <c r="E48" s="263" t="str">
        <f>vlookup(B48,'Geotagging Master All-Training '!$A$2:$C$2474,2,false)</f>
        <v>#N/A</v>
      </c>
      <c r="F48" s="263" t="str">
        <f>vlookup(B48,'Geotagging Master All-Training '!$A$2:$C$2474,3,false)</f>
        <v>#N/A</v>
      </c>
      <c r="G48" s="276" t="s">
        <v>20</v>
      </c>
      <c r="H48" s="272"/>
    </row>
    <row r="49" hidden="1">
      <c r="A49" s="258">
        <v>1398.0</v>
      </c>
      <c r="B49" s="258">
        <v>1398.0</v>
      </c>
      <c r="C49" s="260">
        <v>45.0</v>
      </c>
      <c r="D49" s="260">
        <f>IFERROR(__xludf.DUMMYFUNCTION("if(B49&lt;=999,if(B49&lt;=99,IF(B49&lt;=9,join(,""000"",B49),join(,""00"",B49)),join(,""0"",B49)),B49)"),1398.0)</f>
        <v>1398</v>
      </c>
      <c r="E49" s="263" t="str">
        <f>vlookup(B49,'Geotagging Master All-Training '!$A$2:$C$2474,2,false)</f>
        <v>#N/A</v>
      </c>
      <c r="F49" s="263" t="str">
        <f>vlookup(B49,'Geotagging Master All-Training '!$A$2:$C$2474,3,false)</f>
        <v>#N/A</v>
      </c>
      <c r="G49" s="265" t="s">
        <v>20</v>
      </c>
      <c r="H49" s="258"/>
    </row>
    <row r="50" hidden="1">
      <c r="A50" s="258">
        <v>1155.0</v>
      </c>
      <c r="B50" s="259">
        <v>1155.0</v>
      </c>
      <c r="C50" s="260">
        <v>46.0</v>
      </c>
      <c r="D50" s="260">
        <f>IFERROR(__xludf.DUMMYFUNCTION("if(B50&lt;=999,if(B50&lt;=99,IF(B50&lt;=9,join(,""000"",B50),join(,""00"",B50)),join(,""0"",B50)),B50)"),1155.0)</f>
        <v>1155</v>
      </c>
      <c r="E50" s="263" t="str">
        <f>vlookup(B50,'Geotagging Master All-Training '!$A$2:$C$2474,2,false)</f>
        <v>#N/A</v>
      </c>
      <c r="F50" s="263" t="str">
        <f>vlookup(B50,'Geotagging Master All-Training '!$A$2:$C$2474,3,false)</f>
        <v>#N/A</v>
      </c>
      <c r="G50" s="265" t="s">
        <v>20</v>
      </c>
      <c r="H50" s="258"/>
    </row>
    <row r="51">
      <c r="A51" s="272">
        <v>72.0</v>
      </c>
      <c r="B51" s="272">
        <v>72.0</v>
      </c>
      <c r="C51" s="273"/>
      <c r="D51" s="273"/>
      <c r="E51" s="303"/>
      <c r="F51" s="303"/>
      <c r="G51" s="276"/>
      <c r="H51" s="273"/>
    </row>
    <row r="52" hidden="1">
      <c r="A52" s="258">
        <v>1038.0</v>
      </c>
      <c r="B52" s="259">
        <v>1038.0</v>
      </c>
      <c r="C52" s="260">
        <v>48.0</v>
      </c>
      <c r="D52" s="260">
        <f>IFERROR(__xludf.DUMMYFUNCTION("if(B52&lt;=999,if(B52&lt;=99,IF(B52&lt;=9,join(,""000"",B52),join(,""00"",B52)),join(,""0"",B52)),B52)"),1038.0)</f>
        <v>1038</v>
      </c>
      <c r="E52" s="263" t="str">
        <f>vlookup(B52,'Geotagging Master All-Training '!$A$2:$C$2474,2,false)</f>
        <v>#N/A</v>
      </c>
      <c r="F52" s="263" t="str">
        <f>vlookup(B52,'Geotagging Master All-Training '!$A$2:$C$2474,3,false)</f>
        <v>#N/A</v>
      </c>
      <c r="G52" s="265" t="s">
        <v>20</v>
      </c>
      <c r="H52" s="258"/>
    </row>
    <row r="53" hidden="1">
      <c r="A53" s="258">
        <v>519.0</v>
      </c>
      <c r="B53" s="258">
        <v>519.0</v>
      </c>
      <c r="C53" s="260">
        <v>49.0</v>
      </c>
      <c r="D53" s="260" t="str">
        <f>IFERROR(__xludf.DUMMYFUNCTION("if(B53&lt;=999,if(B53&lt;=99,IF(B53&lt;=9,join(,""000"",B53),join(,""00"",B53)),join(,""0"",B53)),B53)"),"0519")</f>
        <v>0519</v>
      </c>
      <c r="E53" s="263" t="str">
        <f>vlookup(B53,'Geotagging Master All-Training '!$A$2:$C$2474,2,false)</f>
        <v>#N/A</v>
      </c>
      <c r="F53" s="263" t="str">
        <f>vlookup(B53,'Geotagging Master All-Training '!$A$2:$C$2474,3,false)</f>
        <v>#N/A</v>
      </c>
      <c r="G53" s="265" t="s">
        <v>20</v>
      </c>
      <c r="H53" s="258"/>
    </row>
    <row r="54" hidden="1">
      <c r="A54" s="258">
        <v>747.0</v>
      </c>
      <c r="B54" s="258">
        <v>747.0</v>
      </c>
      <c r="C54" s="260">
        <v>50.0</v>
      </c>
      <c r="D54" s="260" t="str">
        <f>IFERROR(__xludf.DUMMYFUNCTION("if(B54&lt;=999,if(B54&lt;=99,IF(B54&lt;=9,join(,""000"",B54),join(,""00"",B54)),join(,""0"",B54)),B54)"),"0747")</f>
        <v>0747</v>
      </c>
      <c r="E54" s="263" t="str">
        <f>vlookup(B54,'Geotagging Master All-Training '!$A$2:$C$2474,2,false)</f>
        <v>#N/A</v>
      </c>
      <c r="F54" s="263" t="str">
        <f>vlookup(B54,'Geotagging Master All-Training '!$A$2:$C$2474,3,false)</f>
        <v>#N/A</v>
      </c>
      <c r="G54" s="265" t="s">
        <v>20</v>
      </c>
      <c r="H54" s="258"/>
    </row>
    <row r="55" hidden="1">
      <c r="A55" s="258">
        <v>649.0</v>
      </c>
      <c r="B55" s="259">
        <v>649.0</v>
      </c>
      <c r="C55" s="260">
        <v>51.0</v>
      </c>
      <c r="D55" s="260" t="str">
        <f>IFERROR(__xludf.DUMMYFUNCTION("if(B55&lt;=999,if(B55&lt;=99,IF(B55&lt;=9,join(,""000"",B55),join(,""00"",B55)),join(,""0"",B55)),B55)"),"0649")</f>
        <v>0649</v>
      </c>
      <c r="E55" s="263" t="str">
        <f>vlookup(B55,'Geotagging Master All-Training '!$A$2:$C$2474,2,false)</f>
        <v>#N/A</v>
      </c>
      <c r="F55" s="263" t="str">
        <f>vlookup(B55,'Geotagging Master All-Training '!$A$2:$C$2474,3,false)</f>
        <v>#N/A</v>
      </c>
      <c r="G55" s="265" t="s">
        <v>20</v>
      </c>
      <c r="H55" s="258"/>
    </row>
    <row r="56" hidden="1">
      <c r="A56" s="258">
        <v>412.0</v>
      </c>
      <c r="B56" s="258">
        <v>412.0</v>
      </c>
      <c r="C56" s="260">
        <v>52.0</v>
      </c>
      <c r="D56" s="260" t="str">
        <f>IFERROR(__xludf.DUMMYFUNCTION("if(B56&lt;=999,if(B56&lt;=99,IF(B56&lt;=9,join(,""000"",B56),join(,""00"",B56)),join(,""0"",B56)),B56)"),"0412")</f>
        <v>0412</v>
      </c>
      <c r="E56" s="263" t="str">
        <f>vlookup(B56,'Geotagging Master All-Training '!$A$2:$C$2474,2,false)</f>
        <v>#N/A</v>
      </c>
      <c r="F56" s="263" t="str">
        <f>vlookup(B56,'Geotagging Master All-Training '!$A$2:$C$2474,3,false)</f>
        <v>#N/A</v>
      </c>
      <c r="G56" s="265" t="s">
        <v>20</v>
      </c>
      <c r="H56" s="258"/>
    </row>
    <row r="57" hidden="1">
      <c r="A57" s="258">
        <v>20.0</v>
      </c>
      <c r="B57" s="258">
        <v>20.0</v>
      </c>
      <c r="C57" s="260">
        <v>53.0</v>
      </c>
      <c r="D57" s="260" t="str">
        <f>IFERROR(__xludf.DUMMYFUNCTION("if(B57&lt;=999,if(B57&lt;=99,IF(B57&lt;=9,join(,""000"",B57),join(,""00"",B57)),join(,""0"",B57)),B57)"),"0020")</f>
        <v>0020</v>
      </c>
      <c r="E57" s="263" t="str">
        <f>vlookup(B57,'Geotagging Master All-Training '!$A$2:$C$2474,2,false)</f>
        <v>#N/A</v>
      </c>
      <c r="F57" s="263" t="str">
        <f>vlookup(B57,'Geotagging Master All-Training '!$A$2:$C$2474,3,false)</f>
        <v>#N/A</v>
      </c>
      <c r="G57" s="265" t="s">
        <v>20</v>
      </c>
      <c r="H57" s="258"/>
    </row>
    <row r="58" hidden="1">
      <c r="A58" s="258">
        <v>363.0</v>
      </c>
      <c r="B58" s="259">
        <v>363.0</v>
      </c>
      <c r="C58" s="260">
        <v>54.0</v>
      </c>
      <c r="D58" s="260" t="str">
        <f>IFERROR(__xludf.DUMMYFUNCTION("if(B58&lt;=999,if(B58&lt;=99,IF(B58&lt;=9,join(,""000"",B58),join(,""00"",B58)),join(,""0"",B58)),B58)"),"0363")</f>
        <v>0363</v>
      </c>
      <c r="E58" s="263" t="str">
        <f>vlookup(B58,'Geotagging Master All-Training '!$A$2:$C$2474,2,false)</f>
        <v>#N/A</v>
      </c>
      <c r="F58" s="263" t="str">
        <f>vlookup(B58,'Geotagging Master All-Training '!$A$2:$C$2474,3,false)</f>
        <v>#N/A</v>
      </c>
      <c r="G58" s="265" t="s">
        <v>20</v>
      </c>
      <c r="H58" s="258"/>
    </row>
    <row r="59" hidden="1">
      <c r="A59" s="258">
        <v>1141.0</v>
      </c>
      <c r="B59" s="258">
        <v>1141.0</v>
      </c>
      <c r="C59" s="260">
        <v>55.0</v>
      </c>
      <c r="D59" s="260">
        <f>IFERROR(__xludf.DUMMYFUNCTION("if(B59&lt;=999,if(B59&lt;=99,IF(B59&lt;=9,join(,""000"",B59),join(,""00"",B59)),join(,""0"",B59)),B59)"),1141.0)</f>
        <v>1141</v>
      </c>
      <c r="E59" s="263" t="str">
        <f>vlookup(B59,'Geotagging Master All-Training '!$A$2:$C$2474,2,false)</f>
        <v>#N/A</v>
      </c>
      <c r="F59" s="263" t="str">
        <f>vlookup(B59,'Geotagging Master All-Training '!$A$2:$C$2474,3,false)</f>
        <v>#N/A</v>
      </c>
      <c r="G59" s="265" t="s">
        <v>20</v>
      </c>
      <c r="H59" s="258"/>
    </row>
    <row r="60" ht="20.25" hidden="1" customHeight="1">
      <c r="A60" s="258">
        <v>746.0</v>
      </c>
      <c r="B60" s="258">
        <v>746.0</v>
      </c>
      <c r="C60" s="260">
        <v>56.0</v>
      </c>
      <c r="D60" s="260" t="str">
        <f>IFERROR(__xludf.DUMMYFUNCTION("if(B60&lt;=999,if(B60&lt;=99,IF(B60&lt;=9,join(,""000"",B60),join(,""00"",B60)),join(,""0"",B60)),B60)"),"0746")</f>
        <v>0746</v>
      </c>
      <c r="E60" s="263" t="str">
        <f>vlookup(B60,'Geotagging Master All-Training '!$A$2:$C$2474,2,false)</f>
        <v>#N/A</v>
      </c>
      <c r="F60" s="263" t="str">
        <f>vlookup(B60,'Geotagging Master All-Training '!$A$2:$C$2474,3,false)</f>
        <v>#N/A</v>
      </c>
      <c r="G60" s="265" t="s">
        <v>20</v>
      </c>
      <c r="H60" s="258"/>
    </row>
    <row r="61" hidden="1">
      <c r="A61" s="258">
        <v>1209.0</v>
      </c>
      <c r="B61" s="258">
        <v>1209.0</v>
      </c>
      <c r="C61" s="260">
        <v>57.0</v>
      </c>
      <c r="D61" s="260">
        <f>IFERROR(__xludf.DUMMYFUNCTION("if(B61&lt;=999,if(B61&lt;=99,IF(B61&lt;=9,join(,""000"",B61),join(,""00"",B61)),join(,""0"",B61)),B61)"),1209.0)</f>
        <v>1209</v>
      </c>
      <c r="E61" s="263" t="str">
        <f>vlookup(B61,'Geotagging Master All-Training '!$A$2:$C$2474,2,false)</f>
        <v>#N/A</v>
      </c>
      <c r="F61" s="263" t="str">
        <f>vlookup(B61,'Geotagging Master All-Training '!$A$2:$C$2474,3,false)</f>
        <v>#N/A</v>
      </c>
      <c r="G61" s="265" t="s">
        <v>20</v>
      </c>
      <c r="H61" s="258"/>
    </row>
    <row r="62" hidden="1">
      <c r="A62" s="258">
        <v>398.0</v>
      </c>
      <c r="B62" s="259">
        <v>398.0</v>
      </c>
      <c r="C62" s="260">
        <v>58.0</v>
      </c>
      <c r="D62" s="260" t="str">
        <f>IFERROR(__xludf.DUMMYFUNCTION("if(B62&lt;=999,if(B62&lt;=99,IF(B62&lt;=9,join(,""000"",B62),join(,""00"",B62)),join(,""0"",B62)),B62)"),"0398")</f>
        <v>0398</v>
      </c>
      <c r="E62" s="263" t="str">
        <f>vlookup(B62,'Geotagging Master All-Training '!$A$2:$C$2474,2,false)</f>
        <v>#N/A</v>
      </c>
      <c r="F62" s="263" t="str">
        <f>vlookup(B62,'Geotagging Master All-Training '!$A$2:$C$2474,3,false)</f>
        <v>#N/A</v>
      </c>
      <c r="G62" s="265" t="s">
        <v>20</v>
      </c>
      <c r="H62" s="258"/>
    </row>
    <row r="63" hidden="1">
      <c r="A63" s="258">
        <v>1036.0</v>
      </c>
      <c r="B63" s="258">
        <v>1036.0</v>
      </c>
      <c r="C63" s="260">
        <v>59.0</v>
      </c>
      <c r="D63" s="260">
        <f>IFERROR(__xludf.DUMMYFUNCTION("if(B63&lt;=999,if(B63&lt;=99,IF(B63&lt;=9,join(,""000"",B63),join(,""00"",B63)),join(,""0"",B63)),B63)"),1036.0)</f>
        <v>1036</v>
      </c>
      <c r="E63" s="263" t="str">
        <f>vlookup(B63,'Geotagging Master All-Training '!$A$2:$C$2474,2,false)</f>
        <v>#N/A</v>
      </c>
      <c r="F63" s="263" t="str">
        <f>vlookup(B63,'Geotagging Master All-Training '!$A$2:$C$2474,3,false)</f>
        <v>#N/A</v>
      </c>
      <c r="G63" s="265" t="s">
        <v>20</v>
      </c>
      <c r="H63" s="258"/>
    </row>
    <row r="64" hidden="1">
      <c r="A64" s="258">
        <v>1107.0</v>
      </c>
      <c r="B64" s="259">
        <v>1107.0</v>
      </c>
      <c r="C64" s="260">
        <v>60.0</v>
      </c>
      <c r="D64" s="260">
        <f>IFERROR(__xludf.DUMMYFUNCTION("if(B64&lt;=999,if(B64&lt;=99,IF(B64&lt;=9,join(,""000"",B64),join(,""00"",B64)),join(,""0"",B64)),B64)"),1107.0)</f>
        <v>1107</v>
      </c>
      <c r="E64" s="263" t="str">
        <f>vlookup(B64,'Geotagging Master All-Training '!$A$2:$C$2474,2,false)</f>
        <v>#N/A</v>
      </c>
      <c r="F64" s="263" t="str">
        <f>vlookup(B64,'Geotagging Master All-Training '!$A$2:$C$2474,3,false)</f>
        <v>#N/A</v>
      </c>
      <c r="G64" s="265" t="s">
        <v>20</v>
      </c>
      <c r="H64" s="258"/>
    </row>
    <row r="65" hidden="1">
      <c r="A65" s="258">
        <v>1294.0</v>
      </c>
      <c r="B65" s="258">
        <v>1294.0</v>
      </c>
      <c r="C65" s="260">
        <v>61.0</v>
      </c>
      <c r="D65" s="260">
        <f>IFERROR(__xludf.DUMMYFUNCTION("if(B65&lt;=999,if(B65&lt;=99,IF(B65&lt;=9,join(,""000"",B65),join(,""00"",B65)),join(,""0"",B65)),B65)"),1294.0)</f>
        <v>1294</v>
      </c>
      <c r="E65" s="263" t="str">
        <f>vlookup(B65,'Geotagging Master All-Training '!$A$2:$C$2474,2,false)</f>
        <v>#N/A</v>
      </c>
      <c r="F65" s="263" t="str">
        <f>vlookup(B65,'Geotagging Master All-Training '!$A$2:$C$2474,3,false)</f>
        <v>#N/A</v>
      </c>
      <c r="G65" s="265" t="s">
        <v>20</v>
      </c>
      <c r="H65" s="258"/>
    </row>
    <row r="66" hidden="1">
      <c r="A66" s="258">
        <v>1213.0</v>
      </c>
      <c r="B66" s="259">
        <v>1213.0</v>
      </c>
      <c r="C66" s="260">
        <v>62.0</v>
      </c>
      <c r="D66" s="260">
        <f>IFERROR(__xludf.DUMMYFUNCTION("if(B66&lt;=999,if(B66&lt;=99,IF(B66&lt;=9,join(,""000"",B66),join(,""00"",B66)),join(,""0"",B66)),B66)"),1213.0)</f>
        <v>1213</v>
      </c>
      <c r="E66" s="263" t="str">
        <f>vlookup(B66,'Geotagging Master All-Training '!$A$2:$C$2474,2,false)</f>
        <v>#N/A</v>
      </c>
      <c r="F66" s="263" t="str">
        <f>vlookup(B66,'Geotagging Master All-Training '!$A$2:$C$2474,3,false)</f>
        <v>#N/A</v>
      </c>
      <c r="G66" s="265" t="s">
        <v>20</v>
      </c>
      <c r="H66" s="258"/>
    </row>
    <row r="67">
      <c r="A67" s="272">
        <v>118.0</v>
      </c>
      <c r="B67" s="272">
        <v>118.0</v>
      </c>
      <c r="C67" s="273"/>
      <c r="D67" s="273"/>
      <c r="E67" s="303"/>
      <c r="F67" s="303"/>
      <c r="G67" s="276"/>
      <c r="H67" s="273"/>
    </row>
    <row r="68" hidden="1">
      <c r="A68" s="258">
        <v>535.0</v>
      </c>
      <c r="B68" s="258">
        <v>535.0</v>
      </c>
      <c r="C68" s="260">
        <v>64.0</v>
      </c>
      <c r="D68" s="260" t="str">
        <f>IFERROR(__xludf.DUMMYFUNCTION("if(B68&lt;=999,if(B68&lt;=99,IF(B68&lt;=9,join(,""000"",B68),join(,""00"",B68)),join(,""0"",B68)),B68)"),"0535")</f>
        <v>0535</v>
      </c>
      <c r="E68" s="263" t="str">
        <f>vlookup(B68,'Geotagging Master All-Training '!$A$2:$C$2474,2,false)</f>
        <v>#N/A</v>
      </c>
      <c r="F68" s="263" t="str">
        <f>vlookup(B68,'Geotagging Master All-Training '!$A$2:$C$2474,3,false)</f>
        <v>#N/A</v>
      </c>
      <c r="G68" s="265" t="s">
        <v>20</v>
      </c>
      <c r="H68" s="258"/>
    </row>
    <row r="69" hidden="1">
      <c r="A69" s="258">
        <v>1311.0</v>
      </c>
      <c r="B69" s="258">
        <v>1311.0</v>
      </c>
      <c r="C69" s="260">
        <v>65.0</v>
      </c>
      <c r="D69" s="260">
        <f>IFERROR(__xludf.DUMMYFUNCTION("if(B69&lt;=999,if(B69&lt;=99,IF(B69&lt;=9,join(,""000"",B69),join(,""00"",B69)),join(,""0"",B69)),B69)"),1311.0)</f>
        <v>1311</v>
      </c>
      <c r="E69" s="263" t="str">
        <f>vlookup(B69,'Geotagging Master All-Training '!$A$2:$C$2474,2,false)</f>
        <v>#N/A</v>
      </c>
      <c r="F69" s="263" t="str">
        <f>vlookup(B69,'Geotagging Master All-Training '!$A$2:$C$2474,3,false)</f>
        <v>#N/A</v>
      </c>
      <c r="G69" s="265" t="s">
        <v>20</v>
      </c>
      <c r="H69" s="258"/>
    </row>
    <row r="70" hidden="1">
      <c r="A70" s="258">
        <v>668.0</v>
      </c>
      <c r="B70" s="258">
        <v>668.0</v>
      </c>
      <c r="C70" s="260">
        <v>66.0</v>
      </c>
      <c r="D70" s="260" t="str">
        <f>IFERROR(__xludf.DUMMYFUNCTION("if(B70&lt;=999,if(B70&lt;=99,IF(B70&lt;=9,join(,""000"",B70),join(,""00"",B70)),join(,""0"",B70)),B70)"),"0668")</f>
        <v>0668</v>
      </c>
      <c r="E70" s="263" t="str">
        <f>vlookup(B70,'Geotagging Master All-Training '!$A$2:$C$2474,2,false)</f>
        <v>#N/A</v>
      </c>
      <c r="F70" s="263" t="str">
        <f>vlookup(B70,'Geotagging Master All-Training '!$A$2:$C$2474,3,false)</f>
        <v>#N/A</v>
      </c>
      <c r="G70" s="265" t="s">
        <v>20</v>
      </c>
      <c r="H70" s="258"/>
    </row>
    <row r="71" hidden="1">
      <c r="A71" s="272">
        <v>1341.0</v>
      </c>
      <c r="B71" s="272">
        <v>1341.0</v>
      </c>
      <c r="C71" s="260">
        <v>67.0</v>
      </c>
      <c r="D71" s="273">
        <f>IFERROR(__xludf.DUMMYFUNCTION("if(B71&lt;=999,if(B71&lt;=99,IF(B71&lt;=9,join(,""000"",B71),join(,""00"",B71)),join(,""0"",B71)),B71)"),1341.0)</f>
        <v>1341</v>
      </c>
      <c r="E71" s="263" t="str">
        <f>vlookup(B71,'Geotagging Master All-Training '!$A$2:$C$2474,2,false)</f>
        <v>#N/A</v>
      </c>
      <c r="F71" s="263" t="str">
        <f>vlookup(B71,'Geotagging Master All-Training '!$A$2:$C$2474,3,false)</f>
        <v>#N/A</v>
      </c>
      <c r="G71" s="276" t="s">
        <v>20</v>
      </c>
      <c r="H71" s="272"/>
    </row>
    <row r="72" hidden="1">
      <c r="A72" s="258">
        <v>1403.0</v>
      </c>
      <c r="B72" s="259">
        <v>1403.0</v>
      </c>
      <c r="C72" s="260">
        <v>68.0</v>
      </c>
      <c r="D72" s="260">
        <f>IFERROR(__xludf.DUMMYFUNCTION("if(B72&lt;=999,if(B72&lt;=99,IF(B72&lt;=9,join(,""000"",B72),join(,""00"",B72)),join(,""0"",B72)),B72)"),1403.0)</f>
        <v>1403</v>
      </c>
      <c r="E72" s="263" t="str">
        <f>vlookup(B72,'Geotagging Master All-Training '!$A$2:$C$2474,2,false)</f>
        <v>#N/A</v>
      </c>
      <c r="F72" s="263" t="str">
        <f>vlookup(B72,'Geotagging Master All-Training '!$A$2:$C$2474,3,false)</f>
        <v>#N/A</v>
      </c>
      <c r="G72" s="265" t="s">
        <v>20</v>
      </c>
      <c r="H72" s="258"/>
    </row>
    <row r="73" hidden="1">
      <c r="A73" s="272">
        <v>1265.0</v>
      </c>
      <c r="B73" s="272">
        <v>1265.0</v>
      </c>
      <c r="C73" s="260">
        <v>69.0</v>
      </c>
      <c r="D73" s="273">
        <f>IFERROR(__xludf.DUMMYFUNCTION("if(B73&lt;=999,if(B73&lt;=99,IF(B73&lt;=9,join(,""000"",B73),join(,""00"",B73)),join(,""0"",B73)),B73)"),1265.0)</f>
        <v>1265</v>
      </c>
      <c r="E73" s="263" t="str">
        <f>vlookup(B73,'Geotagging Master All-Training '!$A$2:$C$2474,2,false)</f>
        <v>#N/A</v>
      </c>
      <c r="F73" s="263" t="str">
        <f>vlookup(B73,'Geotagging Master All-Training '!$A$2:$C$2474,3,false)</f>
        <v>#N/A</v>
      </c>
      <c r="G73" s="276" t="s">
        <v>20</v>
      </c>
      <c r="H73" s="272"/>
    </row>
    <row r="74" hidden="1">
      <c r="A74" s="258">
        <v>1104.0</v>
      </c>
      <c r="B74" s="258">
        <v>1104.0</v>
      </c>
      <c r="C74" s="260">
        <v>70.0</v>
      </c>
      <c r="D74" s="260">
        <f>IFERROR(__xludf.DUMMYFUNCTION("if(B74&lt;=999,if(B74&lt;=99,IF(B74&lt;=9,join(,""000"",B74),join(,""00"",B74)),join(,""0"",B74)),B74)"),1104.0)</f>
        <v>1104</v>
      </c>
      <c r="E74" s="263" t="str">
        <f>vlookup(B74,'Geotagging Master All-Training '!$A$2:$C$2474,2,false)</f>
        <v>#N/A</v>
      </c>
      <c r="F74" s="263" t="str">
        <f>vlookup(B74,'Geotagging Master All-Training '!$A$2:$C$2474,3,false)</f>
        <v>#N/A</v>
      </c>
      <c r="G74" s="265" t="s">
        <v>20</v>
      </c>
      <c r="H74" s="258"/>
    </row>
    <row r="75" hidden="1">
      <c r="A75" s="258">
        <v>1030.0</v>
      </c>
      <c r="B75" s="258">
        <v>1030.0</v>
      </c>
      <c r="C75" s="260">
        <v>71.0</v>
      </c>
      <c r="D75" s="260">
        <f>IFERROR(__xludf.DUMMYFUNCTION("if(B75&lt;=999,if(B75&lt;=99,IF(B75&lt;=9,join(,""000"",B75),join(,""00"",B75)),join(,""0"",B75)),B75)"),1030.0)</f>
        <v>1030</v>
      </c>
      <c r="E75" s="263" t="str">
        <f>vlookup(B75,'Geotagging Master All-Training '!$A$2:$C$2474,2,false)</f>
        <v>#N/A</v>
      </c>
      <c r="F75" s="263" t="str">
        <f>vlookup(B75,'Geotagging Master All-Training '!$A$2:$C$2474,3,false)</f>
        <v>#N/A</v>
      </c>
      <c r="G75" s="265" t="s">
        <v>20</v>
      </c>
      <c r="H75" s="258"/>
    </row>
    <row r="76" hidden="1">
      <c r="A76" s="272">
        <v>1426.0</v>
      </c>
      <c r="B76" s="272">
        <v>1426.0</v>
      </c>
      <c r="C76" s="260">
        <v>72.0</v>
      </c>
      <c r="D76" s="273">
        <f>IFERROR(__xludf.DUMMYFUNCTION("if(B76&lt;=999,if(B76&lt;=99,IF(B76&lt;=9,join(,""000"",B76),join(,""00"",B76)),join(,""0"",B76)),B76)"),1426.0)</f>
        <v>1426</v>
      </c>
      <c r="E76" s="263" t="str">
        <f>vlookup(B76,'Geotagging Master All-Training '!$A$2:$C$2474,2,false)</f>
        <v>#N/A</v>
      </c>
      <c r="F76" s="263" t="str">
        <f>vlookup(B76,'Geotagging Master All-Training '!$A$2:$C$2474,3,false)</f>
        <v>#N/A</v>
      </c>
      <c r="G76" s="276" t="s">
        <v>20</v>
      </c>
      <c r="H76" s="272"/>
    </row>
    <row r="77">
      <c r="A77" s="272">
        <v>1123.0</v>
      </c>
      <c r="B77" s="272">
        <v>1123.0</v>
      </c>
      <c r="C77" s="273"/>
      <c r="D77" s="273"/>
      <c r="E77" s="303"/>
      <c r="F77" s="303"/>
      <c r="G77" s="276"/>
      <c r="H77" s="273"/>
    </row>
    <row r="78" hidden="1">
      <c r="A78" s="272">
        <v>460.0</v>
      </c>
      <c r="B78" s="272">
        <v>460.0</v>
      </c>
      <c r="C78" s="260">
        <v>74.0</v>
      </c>
      <c r="D78" s="273" t="str">
        <f>IFERROR(__xludf.DUMMYFUNCTION("if(B78&lt;=999,if(B78&lt;=99,IF(B78&lt;=9,join(,""000"",B78),join(,""00"",B78)),join(,""0"",B78)),B78)"),"0460")</f>
        <v>0460</v>
      </c>
      <c r="E78" s="263" t="str">
        <f>vlookup(B78,'Geotagging Master All-Training '!$A$2:$C$2474,2,false)</f>
        <v>#N/A</v>
      </c>
      <c r="F78" s="263" t="str">
        <f>vlookup(B78,'Geotagging Master All-Training '!$A$2:$C$2474,3,false)</f>
        <v>#N/A</v>
      </c>
      <c r="G78" s="276" t="s">
        <v>20</v>
      </c>
      <c r="H78" s="272"/>
    </row>
    <row r="79" hidden="1">
      <c r="A79" s="258">
        <v>792.0</v>
      </c>
      <c r="B79" s="258">
        <v>792.0</v>
      </c>
      <c r="C79" s="260">
        <v>75.0</v>
      </c>
      <c r="D79" s="260" t="str">
        <f>IFERROR(__xludf.DUMMYFUNCTION("if(B79&lt;=999,if(B79&lt;=99,IF(B79&lt;=9,join(,""000"",B79),join(,""00"",B79)),join(,""0"",B79)),B79)"),"0792")</f>
        <v>0792</v>
      </c>
      <c r="E79" s="263" t="str">
        <f>vlookup(B79,'Geotagging Master All-Training '!$A$2:$C$2474,2,false)</f>
        <v>#N/A</v>
      </c>
      <c r="F79" s="263" t="str">
        <f>vlookup(B79,'Geotagging Master All-Training '!$A$2:$C$2474,3,false)</f>
        <v>#N/A</v>
      </c>
      <c r="G79" s="265" t="s">
        <v>20</v>
      </c>
      <c r="H79" s="258"/>
    </row>
    <row r="80" hidden="1">
      <c r="A80" s="272">
        <v>396.0</v>
      </c>
      <c r="B80" s="272">
        <v>396.0</v>
      </c>
      <c r="C80" s="273">
        <v>76.0</v>
      </c>
      <c r="D80" s="273" t="str">
        <f>IFERROR(__xludf.DUMMYFUNCTION("if(B80&lt;=999,if(B80&lt;=99,IF(B80&lt;=9,join(,""000"",B80),join(,""00"",B80)),join(,""0"",B80)),B80)"),"0396")</f>
        <v>0396</v>
      </c>
      <c r="E80" s="303" t="str">
        <f>vlookup(B80,'Geotagging Master All-Training '!$A$2:$C$2474,2,false)</f>
        <v>#N/A</v>
      </c>
      <c r="F80" s="303" t="str">
        <f>vlookup(B80,'Geotagging Master All-Training '!$A$2:$C$2474,3,false)</f>
        <v>#N/A</v>
      </c>
      <c r="G80" s="276" t="s">
        <v>20</v>
      </c>
      <c r="H80" s="272"/>
    </row>
    <row r="81" hidden="1">
      <c r="A81" s="258">
        <v>1044.0</v>
      </c>
      <c r="B81" s="258">
        <v>1044.0</v>
      </c>
      <c r="C81" s="260">
        <v>77.0</v>
      </c>
      <c r="D81" s="260">
        <f>IFERROR(__xludf.DUMMYFUNCTION("if(B81&lt;=999,if(B81&lt;=99,IF(B81&lt;=9,join(,""000"",B81),join(,""00"",B81)),join(,""0"",B81)),B81)"),1044.0)</f>
        <v>1044</v>
      </c>
      <c r="E81" s="263" t="str">
        <f>vlookup(B81,'Geotagging Master All-Training '!$A$2:$C$2474,2,false)</f>
        <v>#N/A</v>
      </c>
      <c r="F81" s="263" t="str">
        <f>vlookup(B81,'Geotagging Master All-Training '!$A$2:$C$2474,3,false)</f>
        <v>#N/A</v>
      </c>
      <c r="G81" s="265" t="s">
        <v>20</v>
      </c>
      <c r="H81" s="258"/>
    </row>
    <row r="82" hidden="1">
      <c r="A82" s="258">
        <v>730.0</v>
      </c>
      <c r="B82" s="259">
        <v>730.0</v>
      </c>
      <c r="C82" s="260">
        <v>78.0</v>
      </c>
      <c r="D82" s="260" t="str">
        <f>IFERROR(__xludf.DUMMYFUNCTION("if(B82&lt;=999,if(B82&lt;=99,IF(B82&lt;=9,join(,""000"",B82),join(,""00"",B82)),join(,""0"",B82)),B82)"),"0730")</f>
        <v>0730</v>
      </c>
      <c r="E82" s="263" t="str">
        <f>vlookup(B82,'Geotagging Master All-Training '!$A$2:$C$2474,2,false)</f>
        <v>#N/A</v>
      </c>
      <c r="F82" s="263" t="str">
        <f>vlookup(B82,'Geotagging Master All-Training '!$A$2:$C$2474,3,false)</f>
        <v>#N/A</v>
      </c>
      <c r="G82" s="265" t="s">
        <v>20</v>
      </c>
      <c r="H82" s="258"/>
    </row>
    <row r="83">
      <c r="A83" s="272">
        <v>1237.0</v>
      </c>
      <c r="B83" s="272">
        <v>1237.0</v>
      </c>
      <c r="C83" s="273"/>
      <c r="D83" s="273"/>
      <c r="E83" s="303"/>
      <c r="F83" s="303"/>
      <c r="G83" s="276"/>
      <c r="H83" s="273"/>
    </row>
    <row r="84" hidden="1">
      <c r="A84" s="272">
        <v>67.0</v>
      </c>
      <c r="B84" s="272">
        <v>67.0</v>
      </c>
      <c r="C84" s="260">
        <v>80.0</v>
      </c>
      <c r="D84" s="273" t="str">
        <f>IFERROR(__xludf.DUMMYFUNCTION("if(B84&lt;=999,if(B84&lt;=99,IF(B84&lt;=9,join(,""000"",B84),join(,""00"",B84)),join(,""0"",B84)),B84)"),"0067")</f>
        <v>0067</v>
      </c>
      <c r="E84" s="263" t="str">
        <f>vlookup(B84,'Geotagging Master All-Training '!$A$2:$C$2474,2,false)</f>
        <v>#N/A</v>
      </c>
      <c r="F84" s="263" t="str">
        <f>vlookup(B84,'Geotagging Master All-Training '!$A$2:$C$2474,3,false)</f>
        <v>#N/A</v>
      </c>
      <c r="G84" s="276" t="s">
        <v>20</v>
      </c>
      <c r="H84" s="272"/>
    </row>
    <row r="85" hidden="1">
      <c r="A85" s="272">
        <v>1039.0</v>
      </c>
      <c r="B85" s="272">
        <v>1039.0</v>
      </c>
      <c r="C85" s="273">
        <v>81.0</v>
      </c>
      <c r="D85" s="273">
        <f>IFERROR(__xludf.DUMMYFUNCTION("if(B85&lt;=999,if(B85&lt;=99,IF(B85&lt;=9,join(,""000"",B85),join(,""00"",B85)),join(,""0"",B85)),B85)"),1039.0)</f>
        <v>1039</v>
      </c>
      <c r="E85" s="303" t="str">
        <f>vlookup(B85,'Geotagging Master All-Training '!$A$2:$C$2474,2,false)</f>
        <v>#N/A</v>
      </c>
      <c r="F85" s="303" t="str">
        <f>vlookup(B85,'Geotagging Master All-Training '!$A$2:$C$2474,3,false)</f>
        <v>#N/A</v>
      </c>
      <c r="G85" s="276" t="s">
        <v>20</v>
      </c>
      <c r="H85" s="272"/>
    </row>
    <row r="86" hidden="1">
      <c r="A86" s="258">
        <v>1152.0</v>
      </c>
      <c r="B86" s="310">
        <v>1152.0</v>
      </c>
      <c r="C86" s="260">
        <v>82.0</v>
      </c>
      <c r="D86" s="260">
        <f>IFERROR(__xludf.DUMMYFUNCTION("if(B86&lt;=999,if(B86&lt;=99,IF(B86&lt;=9,join(,""000"",B86),join(,""00"",B86)),join(,""0"",B86)),B86)"),1152.0)</f>
        <v>1152</v>
      </c>
      <c r="E86" s="263" t="str">
        <f>vlookup(B86,'Geotagging Master All-Training '!$A$2:$C$2474,2,false)</f>
        <v>#N/A</v>
      </c>
      <c r="F86" s="263" t="str">
        <f>vlookup(B86,'Geotagging Master All-Training '!$A$2:$C$2474,3,false)</f>
        <v>#N/A</v>
      </c>
      <c r="G86" s="265" t="s">
        <v>20</v>
      </c>
      <c r="H86" s="258"/>
    </row>
    <row r="87" hidden="1">
      <c r="A87" s="258">
        <v>1436.0</v>
      </c>
      <c r="B87" s="258">
        <v>1436.0</v>
      </c>
      <c r="C87" s="260">
        <v>83.0</v>
      </c>
      <c r="D87" s="260">
        <f>IFERROR(__xludf.DUMMYFUNCTION("if(B87&lt;=999,if(B87&lt;=99,IF(B87&lt;=9,join(,""000"",B87),join(,""00"",B87)),join(,""0"",B87)),B87)"),1436.0)</f>
        <v>1436</v>
      </c>
      <c r="E87" s="263" t="str">
        <f>vlookup(B87,'Geotagging Master All-Training '!$A$2:$C$2474,2,false)</f>
        <v>#N/A</v>
      </c>
      <c r="F87" s="263" t="str">
        <f>vlookup(B87,'Geotagging Master All-Training '!$A$2:$C$2474,3,false)</f>
        <v>#N/A</v>
      </c>
      <c r="G87" s="265" t="s">
        <v>20</v>
      </c>
      <c r="H87" s="258"/>
    </row>
    <row r="88" hidden="1">
      <c r="A88" s="258">
        <v>348.0</v>
      </c>
      <c r="B88" s="259">
        <v>348.0</v>
      </c>
      <c r="C88" s="260">
        <v>84.0</v>
      </c>
      <c r="D88" s="260" t="str">
        <f>IFERROR(__xludf.DUMMYFUNCTION("if(B88&lt;=999,if(B88&lt;=99,IF(B88&lt;=9,join(,""000"",B88),join(,""00"",B88)),join(,""0"",B88)),B88)"),"0348")</f>
        <v>0348</v>
      </c>
      <c r="E88" s="263" t="str">
        <f>vlookup(B88,'Geotagging Master All-Training '!$A$2:$C$2474,2,false)</f>
        <v>#N/A</v>
      </c>
      <c r="F88" s="263" t="str">
        <f>vlookup(B88,'Geotagging Master All-Training '!$A$2:$C$2474,3,false)</f>
        <v>#N/A</v>
      </c>
      <c r="G88" s="265" t="s">
        <v>20</v>
      </c>
      <c r="H88" s="258"/>
    </row>
    <row r="89">
      <c r="A89" s="272">
        <v>1227.0</v>
      </c>
      <c r="B89" s="272">
        <v>1227.0</v>
      </c>
      <c r="C89" s="273"/>
      <c r="D89" s="273"/>
      <c r="E89" s="303"/>
      <c r="F89" s="303"/>
      <c r="G89" s="276"/>
      <c r="H89" s="273"/>
    </row>
    <row r="90" hidden="1">
      <c r="A90" s="258">
        <v>1062.0</v>
      </c>
      <c r="B90" s="258">
        <v>1062.0</v>
      </c>
      <c r="C90" s="260">
        <v>86.0</v>
      </c>
      <c r="D90" s="260">
        <f>IFERROR(__xludf.DUMMYFUNCTION("if(B90&lt;=999,if(B90&lt;=99,IF(B90&lt;=9,join(,""000"",B90),join(,""00"",B90)),join(,""0"",B90)),B90)"),1062.0)</f>
        <v>1062</v>
      </c>
      <c r="E90" s="263" t="str">
        <f>vlookup(B90,'Geotagging Master All-Training '!$A$2:$C$2474,2,false)</f>
        <v>#N/A</v>
      </c>
      <c r="F90" s="263" t="str">
        <f>vlookup(B90,'Geotagging Master All-Training '!$A$2:$C$2474,3,false)</f>
        <v>#N/A</v>
      </c>
      <c r="G90" s="265" t="s">
        <v>20</v>
      </c>
      <c r="H90" s="258"/>
    </row>
    <row r="91" hidden="1">
      <c r="A91" s="258">
        <v>1061.0</v>
      </c>
      <c r="B91" s="258">
        <v>1061.0</v>
      </c>
      <c r="C91" s="260">
        <v>87.0</v>
      </c>
      <c r="D91" s="260">
        <f>IFERROR(__xludf.DUMMYFUNCTION("if(B91&lt;=999,if(B91&lt;=99,IF(B91&lt;=9,join(,""000"",B91),join(,""00"",B91)),join(,""0"",B91)),B91)"),1061.0)</f>
        <v>1061</v>
      </c>
      <c r="E91" s="263" t="str">
        <f>vlookup(B91,'Geotagging Master All-Training '!$A$2:$C$2474,2,false)</f>
        <v>#N/A</v>
      </c>
      <c r="F91" s="263" t="str">
        <f>vlookup(B91,'Geotagging Master All-Training '!$A$2:$C$2474,3,false)</f>
        <v>#N/A</v>
      </c>
      <c r="G91" s="265" t="s">
        <v>20</v>
      </c>
      <c r="H91" s="258"/>
    </row>
    <row r="92" hidden="1">
      <c r="A92" s="258">
        <v>1214.0</v>
      </c>
      <c r="B92" s="258">
        <v>1214.0</v>
      </c>
      <c r="C92" s="260">
        <v>88.0</v>
      </c>
      <c r="D92" s="260">
        <f>IFERROR(__xludf.DUMMYFUNCTION("if(B92&lt;=999,if(B92&lt;=99,IF(B92&lt;=9,join(,""000"",B92),join(,""00"",B92)),join(,""0"",B92)),B92)"),1214.0)</f>
        <v>1214</v>
      </c>
      <c r="E92" s="263" t="str">
        <f>vlookup(B92,'Geotagging Master All-Training '!$A$2:$C$2474,2,false)</f>
        <v>#N/A</v>
      </c>
      <c r="F92" s="263" t="str">
        <f>vlookup(B92,'Geotagging Master All-Training '!$A$2:$C$2474,3,false)</f>
        <v>#N/A</v>
      </c>
      <c r="G92" s="265" t="s">
        <v>20</v>
      </c>
      <c r="H92" s="258"/>
    </row>
    <row r="93" hidden="1">
      <c r="A93" s="258">
        <v>1365.0</v>
      </c>
      <c r="B93" s="258">
        <v>1365.0</v>
      </c>
      <c r="C93" s="260">
        <v>89.0</v>
      </c>
      <c r="D93" s="260">
        <f>IFERROR(__xludf.DUMMYFUNCTION("if(B93&lt;=999,if(B93&lt;=99,IF(B93&lt;=9,join(,""000"",B93),join(,""00"",B93)),join(,""0"",B93)),B93)"),1365.0)</f>
        <v>1365</v>
      </c>
      <c r="E93" s="263" t="str">
        <f>vlookup(B93,'Geotagging Master All-Training '!$A$2:$C$2474,2,false)</f>
        <v>#N/A</v>
      </c>
      <c r="F93" s="263" t="str">
        <f>vlookup(B93,'Geotagging Master All-Training '!$A$2:$C$2474,3,false)</f>
        <v>#N/A</v>
      </c>
      <c r="G93" s="265" t="s">
        <v>20</v>
      </c>
      <c r="H93" s="258"/>
    </row>
    <row r="94" hidden="1">
      <c r="A94" s="258">
        <v>212.0</v>
      </c>
      <c r="B94" s="259">
        <v>212.0</v>
      </c>
      <c r="C94" s="260">
        <v>90.0</v>
      </c>
      <c r="D94" s="260" t="str">
        <f>IFERROR(__xludf.DUMMYFUNCTION("if(B94&lt;=999,if(B94&lt;=99,IF(B94&lt;=9,join(,""000"",B94),join(,""00"",B94)),join(,""0"",B94)),B94)"),"0212")</f>
        <v>0212</v>
      </c>
      <c r="E94" s="263" t="str">
        <f>vlookup(B94,'Geotagging Master All-Training '!$A$2:$C$2474,2,false)</f>
        <v>#N/A</v>
      </c>
      <c r="F94" s="263" t="str">
        <f>vlookup(B94,'Geotagging Master All-Training '!$A$2:$C$2474,3,false)</f>
        <v>#N/A</v>
      </c>
      <c r="G94" s="265" t="s">
        <v>20</v>
      </c>
      <c r="H94" s="258"/>
    </row>
    <row r="95" hidden="1">
      <c r="A95" s="258">
        <v>813.0</v>
      </c>
      <c r="B95" s="259">
        <v>813.0</v>
      </c>
      <c r="C95" s="260">
        <v>91.0</v>
      </c>
      <c r="D95" s="260" t="str">
        <f>IFERROR(__xludf.DUMMYFUNCTION("if(B95&lt;=999,if(B95&lt;=99,IF(B95&lt;=9,join(,""000"",B95),join(,""00"",B95)),join(,""0"",B95)),B95)"),"0813")</f>
        <v>0813</v>
      </c>
      <c r="E95" s="263" t="str">
        <f>vlookup(B95,'Geotagging Master All-Training '!$A$2:$C$2474,2,false)</f>
        <v>#N/A</v>
      </c>
      <c r="F95" s="263" t="str">
        <f>vlookup(B95,'Geotagging Master All-Training '!$A$2:$C$2474,3,false)</f>
        <v>#N/A</v>
      </c>
      <c r="G95" s="265" t="s">
        <v>20</v>
      </c>
      <c r="H95" s="258"/>
    </row>
    <row r="96" hidden="1">
      <c r="A96" s="258">
        <v>64.0</v>
      </c>
      <c r="B96" s="259">
        <v>64.0</v>
      </c>
      <c r="C96" s="260">
        <v>92.0</v>
      </c>
      <c r="D96" s="260" t="str">
        <f>IFERROR(__xludf.DUMMYFUNCTION("if(B96&lt;=999,if(B96&lt;=99,IF(B96&lt;=9,join(,""000"",B96),join(,""00"",B96)),join(,""0"",B96)),B96)"),"0064")</f>
        <v>0064</v>
      </c>
      <c r="E96" s="263" t="str">
        <f>vlookup(B96,'Geotagging Master All-Training '!$A$2:$C$2474,2,false)</f>
        <v>#N/A</v>
      </c>
      <c r="F96" s="263" t="str">
        <f>vlookup(B96,'Geotagging Master All-Training '!$A$2:$C$2474,3,false)</f>
        <v>#N/A</v>
      </c>
      <c r="G96" s="265" t="s">
        <v>20</v>
      </c>
      <c r="H96" s="258"/>
    </row>
    <row r="97" hidden="1">
      <c r="A97" s="258">
        <v>14.0</v>
      </c>
      <c r="B97" s="259">
        <v>14.0</v>
      </c>
      <c r="C97" s="260">
        <v>93.0</v>
      </c>
      <c r="D97" s="260" t="str">
        <f>IFERROR(__xludf.DUMMYFUNCTION("if(B97&lt;=999,if(B97&lt;=99,IF(B97&lt;=9,join(,""000"",B97),join(,""00"",B97)),join(,""0"",B97)),B97)"),"0014")</f>
        <v>0014</v>
      </c>
      <c r="E97" s="263" t="str">
        <f>vlookup(B97,'Geotagging Master All-Training '!$A$2:$C$2474,2,false)</f>
        <v>#N/A</v>
      </c>
      <c r="F97" s="263" t="str">
        <f>vlookup(B97,'Geotagging Master All-Training '!$A$2:$C$2474,3,false)</f>
        <v>#N/A</v>
      </c>
      <c r="G97" s="265" t="s">
        <v>20</v>
      </c>
      <c r="H97" s="258"/>
    </row>
    <row r="98" hidden="1">
      <c r="A98" s="258">
        <v>1447.0</v>
      </c>
      <c r="B98" s="258">
        <v>1447.0</v>
      </c>
      <c r="C98" s="260">
        <v>94.0</v>
      </c>
      <c r="D98" s="260">
        <f>IFERROR(__xludf.DUMMYFUNCTION("if(B98&lt;=999,if(B98&lt;=99,IF(B98&lt;=9,join(,""000"",B98),join(,""00"",B98)),join(,""0"",B98)),B98)"),1447.0)</f>
        <v>1447</v>
      </c>
      <c r="E98" s="263" t="str">
        <f>vlookup(B98,'Geotagging Master All-Training '!$A$2:$C$2474,2,false)</f>
        <v>#N/A</v>
      </c>
      <c r="F98" s="263" t="str">
        <f>vlookup(B98,'Geotagging Master All-Training '!$A$2:$C$2474,3,false)</f>
        <v>#N/A</v>
      </c>
      <c r="G98" s="265" t="s">
        <v>20</v>
      </c>
      <c r="H98" s="258"/>
    </row>
    <row r="99" hidden="1">
      <c r="A99" s="258">
        <v>539.0</v>
      </c>
      <c r="B99" s="258">
        <v>539.0</v>
      </c>
      <c r="C99" s="260">
        <v>95.0</v>
      </c>
      <c r="D99" s="260" t="str">
        <f>IFERROR(__xludf.DUMMYFUNCTION("if(B99&lt;=999,if(B99&lt;=99,IF(B99&lt;=9,join(,""000"",B99),join(,""00"",B99)),join(,""0"",B99)),B99)"),"0539")</f>
        <v>0539</v>
      </c>
      <c r="E99" s="263" t="str">
        <f>vlookup(B99,'Geotagging Master All-Training '!$A$2:$C$2474,2,false)</f>
        <v>#N/A</v>
      </c>
      <c r="F99" s="263" t="str">
        <f>vlookup(B99,'Geotagging Master All-Training '!$A$2:$C$2474,3,false)</f>
        <v>#N/A</v>
      </c>
      <c r="G99" s="265" t="s">
        <v>20</v>
      </c>
      <c r="H99" s="258"/>
    </row>
    <row r="100" hidden="1">
      <c r="A100" s="258">
        <v>1282.0</v>
      </c>
      <c r="B100" s="258">
        <v>1282.0</v>
      </c>
      <c r="C100" s="260">
        <v>96.0</v>
      </c>
      <c r="D100" s="260">
        <f>IFERROR(__xludf.DUMMYFUNCTION("if(B100&lt;=999,if(B100&lt;=99,IF(B100&lt;=9,join(,""000"",B100),join(,""00"",B100)),join(,""0"",B100)),B100)"),1282.0)</f>
        <v>1282</v>
      </c>
      <c r="E100" s="263" t="str">
        <f>vlookup(B100,'Geotagging Master All-Training '!$A$2:$C$2474,2,false)</f>
        <v>#N/A</v>
      </c>
      <c r="F100" s="263" t="str">
        <f>vlookup(B100,'Geotagging Master All-Training '!$A$2:$C$2474,3,false)</f>
        <v>#N/A</v>
      </c>
      <c r="G100" s="265" t="s">
        <v>20</v>
      </c>
      <c r="H100" s="258"/>
    </row>
    <row r="101" hidden="1">
      <c r="A101" s="258">
        <v>150.0</v>
      </c>
      <c r="B101" s="259">
        <v>150.0</v>
      </c>
      <c r="C101" s="260">
        <v>97.0</v>
      </c>
      <c r="D101" s="260" t="str">
        <f>IFERROR(__xludf.DUMMYFUNCTION("if(B101&lt;=999,if(B101&lt;=99,IF(B101&lt;=9,join(,""000"",B101),join(,""00"",B101)),join(,""0"",B101)),B101)"),"0150")</f>
        <v>0150</v>
      </c>
      <c r="E101" s="263" t="str">
        <f>vlookup(B101,'Geotagging Master All-Training '!$A$2:$C$2474,2,false)</f>
        <v>#N/A</v>
      </c>
      <c r="F101" s="263" t="str">
        <f>vlookup(B101,'Geotagging Master All-Training '!$A$2:$C$2474,3,false)</f>
        <v>#N/A</v>
      </c>
      <c r="G101" s="265" t="s">
        <v>20</v>
      </c>
      <c r="H101" s="258"/>
    </row>
    <row r="102" hidden="1">
      <c r="A102" s="258">
        <v>43.0</v>
      </c>
      <c r="B102" s="258">
        <v>43.0</v>
      </c>
      <c r="C102" s="260">
        <v>98.0</v>
      </c>
      <c r="D102" s="260" t="str">
        <f>IFERROR(__xludf.DUMMYFUNCTION("if(B102&lt;=999,if(B102&lt;=99,IF(B102&lt;=9,join(,""000"",B102),join(,""00"",B102)),join(,""0"",B102)),B102)"),"0043")</f>
        <v>0043</v>
      </c>
      <c r="E102" s="263" t="str">
        <f>vlookup(B102,'Geotagging Master All-Training '!$A$2:$C$2474,2,false)</f>
        <v>#N/A</v>
      </c>
      <c r="F102" s="263" t="str">
        <f>vlookup(B102,'Geotagging Master All-Training '!$A$2:$C$2474,3,false)</f>
        <v>#N/A</v>
      </c>
      <c r="G102" s="265" t="s">
        <v>20</v>
      </c>
      <c r="H102" s="258"/>
    </row>
    <row r="103" hidden="1">
      <c r="A103" s="258">
        <v>1354.0</v>
      </c>
      <c r="B103" s="259">
        <v>1354.0</v>
      </c>
      <c r="C103" s="260">
        <v>99.0</v>
      </c>
      <c r="D103" s="260">
        <f>IFERROR(__xludf.DUMMYFUNCTION("if(B103&lt;=999,if(B103&lt;=99,IF(B103&lt;=9,join(,""000"",B103),join(,""00"",B103)),join(,""0"",B103)),B103)"),1354.0)</f>
        <v>1354</v>
      </c>
      <c r="E103" s="263" t="str">
        <f>vlookup(B103,'Geotagging Master All-Training '!$A$2:$C$2474,2,false)</f>
        <v>#N/A</v>
      </c>
      <c r="F103" s="263" t="str">
        <f>vlookup(B103,'Geotagging Master All-Training '!$A$2:$C$2474,3,false)</f>
        <v>#N/A</v>
      </c>
      <c r="G103" s="265" t="s">
        <v>20</v>
      </c>
      <c r="H103" s="258"/>
    </row>
    <row r="104" hidden="1">
      <c r="A104" s="258">
        <v>1135.0</v>
      </c>
      <c r="B104" s="259">
        <v>1135.0</v>
      </c>
      <c r="C104" s="260">
        <v>100.0</v>
      </c>
      <c r="D104" s="260">
        <f>IFERROR(__xludf.DUMMYFUNCTION("if(B104&lt;=999,if(B104&lt;=99,IF(B104&lt;=9,join(,""000"",B104),join(,""00"",B104)),join(,""0"",B104)),B104)"),1135.0)</f>
        <v>1135</v>
      </c>
      <c r="E104" s="263" t="str">
        <f>vlookup(B104,'Geotagging Master All-Training '!$A$2:$C$2474,2,false)</f>
        <v>#N/A</v>
      </c>
      <c r="F104" s="263" t="str">
        <f>vlookup(B104,'Geotagging Master All-Training '!$A$2:$C$2474,3,false)</f>
        <v>#N/A</v>
      </c>
      <c r="G104" s="265" t="s">
        <v>20</v>
      </c>
      <c r="H104" s="258"/>
    </row>
    <row r="105" hidden="1">
      <c r="A105" s="258">
        <v>1113.0</v>
      </c>
      <c r="B105" s="258">
        <v>1113.0</v>
      </c>
      <c r="C105" s="260">
        <v>101.0</v>
      </c>
      <c r="D105" s="260">
        <f>IFERROR(__xludf.DUMMYFUNCTION("if(B105&lt;=999,if(B105&lt;=99,IF(B105&lt;=9,join(,""000"",B105),join(,""00"",B105)),join(,""0"",B105)),B105)"),1113.0)</f>
        <v>1113</v>
      </c>
      <c r="E105" s="263" t="str">
        <f>vlookup(B105,'Geotagging Master All-Training '!$A$2:$C$2474,2,false)</f>
        <v>#N/A</v>
      </c>
      <c r="F105" s="263" t="str">
        <f>vlookup(B105,'Geotagging Master All-Training '!$A$2:$C$2474,3,false)</f>
        <v>#N/A</v>
      </c>
      <c r="G105" s="265" t="s">
        <v>20</v>
      </c>
      <c r="H105" s="258"/>
    </row>
    <row r="106" hidden="1">
      <c r="A106" s="258">
        <v>1373.0</v>
      </c>
      <c r="B106" s="258">
        <v>1373.0</v>
      </c>
      <c r="C106" s="260">
        <v>102.0</v>
      </c>
      <c r="D106" s="260">
        <f>IFERROR(__xludf.DUMMYFUNCTION("if(B106&lt;=999,if(B106&lt;=99,IF(B106&lt;=9,join(,""000"",B106),join(,""00"",B106)),join(,""0"",B106)),B106)"),1373.0)</f>
        <v>1373</v>
      </c>
      <c r="E106" s="263" t="str">
        <f>vlookup(B106,'Geotagging Master All-Training '!$A$2:$C$2474,2,false)</f>
        <v>#N/A</v>
      </c>
      <c r="F106" s="263" t="str">
        <f>vlookup(B106,'Geotagging Master All-Training '!$A$2:$C$2474,3,false)</f>
        <v>#N/A</v>
      </c>
      <c r="G106" s="265" t="s">
        <v>20</v>
      </c>
      <c r="H106" s="258"/>
    </row>
    <row r="107" hidden="1">
      <c r="A107" s="258">
        <v>1151.0</v>
      </c>
      <c r="B107" s="258">
        <v>1151.0</v>
      </c>
      <c r="C107" s="260">
        <v>103.0</v>
      </c>
      <c r="D107" s="260">
        <f>IFERROR(__xludf.DUMMYFUNCTION("if(B107&lt;=999,if(B107&lt;=99,IF(B107&lt;=9,join(,""000"",B107),join(,""00"",B107)),join(,""0"",B107)),B107)"),1151.0)</f>
        <v>1151</v>
      </c>
      <c r="E107" s="263" t="str">
        <f>vlookup(B107,'Geotagging Master All-Training '!$A$2:$C$2474,2,false)</f>
        <v>#N/A</v>
      </c>
      <c r="F107" s="263" t="str">
        <f>vlookup(B107,'Geotagging Master All-Training '!$A$2:$C$2474,3,false)</f>
        <v>#N/A</v>
      </c>
      <c r="G107" s="265" t="s">
        <v>20</v>
      </c>
      <c r="H107" s="258"/>
    </row>
    <row r="108" hidden="1">
      <c r="A108" s="272">
        <v>1423.0</v>
      </c>
      <c r="B108" s="272">
        <v>1423.0</v>
      </c>
      <c r="C108" s="260">
        <v>104.0</v>
      </c>
      <c r="D108" s="273">
        <f>IFERROR(__xludf.DUMMYFUNCTION("if(B108&lt;=999,if(B108&lt;=99,IF(B108&lt;=9,join(,""000"",B108),join(,""00"",B108)),join(,""0"",B108)),B108)"),1423.0)</f>
        <v>1423</v>
      </c>
      <c r="E108" s="263" t="str">
        <f>vlookup(B108,'Geotagging Master All-Training '!$A$2:$C$2474,2,false)</f>
        <v>#N/A</v>
      </c>
      <c r="F108" s="263" t="str">
        <f>vlookup(B108,'Geotagging Master All-Training '!$A$2:$C$2474,3,false)</f>
        <v>#N/A</v>
      </c>
      <c r="G108" s="276" t="s">
        <v>20</v>
      </c>
      <c r="H108" s="272"/>
    </row>
    <row r="109" hidden="1">
      <c r="A109" s="258">
        <v>82.0</v>
      </c>
      <c r="B109" s="259">
        <v>82.0</v>
      </c>
      <c r="C109" s="260">
        <v>105.0</v>
      </c>
      <c r="D109" s="260" t="str">
        <f>IFERROR(__xludf.DUMMYFUNCTION("if(B109&lt;=999,if(B109&lt;=99,IF(B109&lt;=9,join(,""000"",B109),join(,""00"",B109)),join(,""0"",B109)),B109)"),"0082")</f>
        <v>0082</v>
      </c>
      <c r="E109" s="263" t="str">
        <f>vlookup(B109,'Geotagging Master All-Training '!$A$2:$C$2474,2,false)</f>
        <v>#N/A</v>
      </c>
      <c r="F109" s="263" t="str">
        <f>vlookup(B109,'Geotagging Master All-Training '!$A$2:$C$2474,3,false)</f>
        <v>#N/A</v>
      </c>
      <c r="G109" s="265" t="s">
        <v>20</v>
      </c>
      <c r="H109" s="258"/>
    </row>
    <row r="110" hidden="1">
      <c r="A110" s="272">
        <v>1241.0</v>
      </c>
      <c r="B110" s="272">
        <v>1241.0</v>
      </c>
      <c r="C110" s="260">
        <v>106.0</v>
      </c>
      <c r="D110" s="273">
        <f>IFERROR(__xludf.DUMMYFUNCTION("if(B110&lt;=999,if(B110&lt;=99,IF(B110&lt;=9,join(,""000"",B110),join(,""00"",B110)),join(,""0"",B110)),B110)"),1241.0)</f>
        <v>1241</v>
      </c>
      <c r="E110" s="263" t="str">
        <f>vlookup(B110,'Geotagging Master All-Training '!$A$2:$C$2474,2,false)</f>
        <v>#N/A</v>
      </c>
      <c r="F110" s="263" t="str">
        <f>vlookup(B110,'Geotagging Master All-Training '!$A$2:$C$2474,3,false)</f>
        <v>#N/A</v>
      </c>
      <c r="G110" s="276" t="s">
        <v>20</v>
      </c>
      <c r="H110" s="272"/>
    </row>
    <row r="111" hidden="1">
      <c r="A111" s="272">
        <v>1072.0</v>
      </c>
      <c r="B111" s="272">
        <v>1072.0</v>
      </c>
      <c r="C111" s="260">
        <v>107.0</v>
      </c>
      <c r="D111" s="273">
        <f>IFERROR(__xludf.DUMMYFUNCTION("if(B111&lt;=999,if(B111&lt;=99,IF(B111&lt;=9,join(,""000"",B111),join(,""00"",B111)),join(,""0"",B111)),B111)"),1072.0)</f>
        <v>1072</v>
      </c>
      <c r="E111" s="263" t="str">
        <f>vlookup(B111,'Geotagging Master All-Training '!$A$2:$C$2474,2,false)</f>
        <v>#N/A</v>
      </c>
      <c r="F111" s="263" t="str">
        <f>vlookup(B111,'Geotagging Master All-Training '!$A$2:$C$2474,3,false)</f>
        <v>#N/A</v>
      </c>
      <c r="G111" s="276" t="s">
        <v>20</v>
      </c>
      <c r="H111" s="272"/>
    </row>
    <row r="112" hidden="1">
      <c r="A112" s="272">
        <v>424.0</v>
      </c>
      <c r="B112" s="272">
        <v>424.0</v>
      </c>
      <c r="C112" s="260">
        <v>108.0</v>
      </c>
      <c r="D112" s="273" t="str">
        <f>IFERROR(__xludf.DUMMYFUNCTION("if(B112&lt;=999,if(B112&lt;=99,IF(B112&lt;=9,join(,""000"",B112),join(,""00"",B112)),join(,""0"",B112)),B112)"),"0424")</f>
        <v>0424</v>
      </c>
      <c r="E112" s="263" t="str">
        <f>vlookup(B112,'Geotagging Master All-Training '!$A$2:$C$2474,2,false)</f>
        <v>#N/A</v>
      </c>
      <c r="F112" s="263" t="str">
        <f>vlookup(B112,'Geotagging Master All-Training '!$A$2:$C$2474,3,false)</f>
        <v>#N/A</v>
      </c>
      <c r="G112" s="276" t="s">
        <v>20</v>
      </c>
      <c r="H112" s="272"/>
    </row>
    <row r="113" hidden="1">
      <c r="A113" s="258">
        <v>1103.0</v>
      </c>
      <c r="B113" s="258">
        <v>1103.0</v>
      </c>
      <c r="C113" s="260">
        <v>109.0</v>
      </c>
      <c r="D113" s="260">
        <f>IFERROR(__xludf.DUMMYFUNCTION("if(B113&lt;=999,if(B113&lt;=99,IF(B113&lt;=9,join(,""000"",B113),join(,""00"",B113)),join(,""0"",B113)),B113)"),1103.0)</f>
        <v>1103</v>
      </c>
      <c r="E113" s="263" t="str">
        <f>vlookup(B113,'Geotagging Master All-Training '!$A$2:$C$2474,2,false)</f>
        <v>#N/A</v>
      </c>
      <c r="F113" s="263" t="str">
        <f>vlookup(B113,'Geotagging Master All-Training '!$A$2:$C$2474,3,false)</f>
        <v>#N/A</v>
      </c>
      <c r="G113" s="265" t="s">
        <v>20</v>
      </c>
      <c r="H113" s="258"/>
    </row>
    <row r="114" hidden="1">
      <c r="A114" s="258">
        <v>533.0</v>
      </c>
      <c r="B114" s="258">
        <v>533.0</v>
      </c>
      <c r="C114" s="260">
        <v>110.0</v>
      </c>
      <c r="D114" s="260" t="str">
        <f>IFERROR(__xludf.DUMMYFUNCTION("if(B114&lt;=999,if(B114&lt;=99,IF(B114&lt;=9,join(,""000"",B114),join(,""00"",B114)),join(,""0"",B114)),B114)"),"0533")</f>
        <v>0533</v>
      </c>
      <c r="E114" s="263" t="str">
        <f>vlookup(B114,'Geotagging Master All-Training '!$A$2:$C$2474,2,false)</f>
        <v>#N/A</v>
      </c>
      <c r="F114" s="263" t="str">
        <f>vlookup(B114,'Geotagging Master All-Training '!$A$2:$C$2474,3,false)</f>
        <v>#N/A</v>
      </c>
      <c r="G114" s="265" t="s">
        <v>20</v>
      </c>
      <c r="H114" s="258"/>
    </row>
    <row r="115">
      <c r="A115" s="272">
        <v>233.0</v>
      </c>
      <c r="B115" s="272">
        <v>233.0</v>
      </c>
      <c r="C115" s="273"/>
      <c r="D115" s="273"/>
      <c r="E115" s="303"/>
      <c r="F115" s="303"/>
      <c r="G115" s="276"/>
      <c r="H115" s="273"/>
    </row>
    <row r="116" hidden="1">
      <c r="A116" s="258">
        <v>242.0</v>
      </c>
      <c r="B116" s="258">
        <v>242.0</v>
      </c>
      <c r="C116" s="260">
        <v>112.0</v>
      </c>
      <c r="D116" s="260" t="str">
        <f>IFERROR(__xludf.DUMMYFUNCTION("if(B116&lt;=999,if(B116&lt;=99,IF(B116&lt;=9,join(,""000"",B116),join(,""00"",B116)),join(,""0"",B116)),B116)"),"0242")</f>
        <v>0242</v>
      </c>
      <c r="E116" s="263" t="str">
        <f>vlookup(B116,'Geotagging Master All-Training '!$A$2:$C$2474,2,false)</f>
        <v>#N/A</v>
      </c>
      <c r="F116" s="263" t="str">
        <f>vlookup(B116,'Geotagging Master All-Training '!$A$2:$C$2474,3,false)</f>
        <v>#N/A</v>
      </c>
      <c r="G116" s="265" t="s">
        <v>20</v>
      </c>
      <c r="H116" s="258"/>
    </row>
    <row r="117" hidden="1">
      <c r="A117" s="258">
        <v>249.0</v>
      </c>
      <c r="B117" s="258">
        <v>249.0</v>
      </c>
      <c r="C117" s="260">
        <v>113.0</v>
      </c>
      <c r="D117" s="260" t="str">
        <f>IFERROR(__xludf.DUMMYFUNCTION("if(B117&lt;=999,if(B117&lt;=99,IF(B117&lt;=9,join(,""000"",B117),join(,""00"",B117)),join(,""0"",B117)),B117)"),"0249")</f>
        <v>0249</v>
      </c>
      <c r="E117" s="263" t="str">
        <f>vlookup(B117,'Geotagging Master All-Training '!$A$2:$C$2474,2,false)</f>
        <v>#N/A</v>
      </c>
      <c r="F117" s="263" t="str">
        <f>vlookup(B117,'Geotagging Master All-Training '!$A$2:$C$2474,3,false)</f>
        <v>#N/A</v>
      </c>
      <c r="G117" s="265" t="s">
        <v>20</v>
      </c>
      <c r="H117" s="258"/>
    </row>
    <row r="118" hidden="1">
      <c r="A118" s="272">
        <v>1369.0</v>
      </c>
      <c r="B118" s="272">
        <v>1369.0</v>
      </c>
      <c r="C118" s="273">
        <v>122.0</v>
      </c>
      <c r="D118" s="273">
        <f>IFERROR(__xludf.DUMMYFUNCTION("if(B118&lt;=999,if(B118&lt;=99,IF(B118&lt;=9,join(,""000"",B118),join(,""00"",B118)),join(,""0"",B118)),B118)"),1369.0)</f>
        <v>1369</v>
      </c>
      <c r="E118" s="303" t="str">
        <f>vlookup(B118,'Geotagging Master All-Training '!$A$2:$C$2474,2,false)</f>
        <v>#N/A</v>
      </c>
      <c r="F118" s="303" t="str">
        <f>vlookup(B118,'Geotagging Master All-Training '!$A$2:$C$2474,3,false)</f>
        <v>#N/A</v>
      </c>
      <c r="G118" s="276" t="s">
        <v>20</v>
      </c>
      <c r="H118" s="272"/>
    </row>
    <row r="119" hidden="1">
      <c r="A119" s="258">
        <v>1182.0</v>
      </c>
      <c r="B119" s="258">
        <v>1182.0</v>
      </c>
      <c r="C119" s="260">
        <v>115.0</v>
      </c>
      <c r="D119" s="260">
        <f>IFERROR(__xludf.DUMMYFUNCTION("if(B119&lt;=999,if(B119&lt;=99,IF(B119&lt;=9,join(,""000"",B119),join(,""00"",B119)),join(,""0"",B119)),B119)"),1182.0)</f>
        <v>1182</v>
      </c>
      <c r="E119" s="263" t="str">
        <f>vlookup(B119,'Geotagging Master All-Training '!$A$2:$C$2474,2,false)</f>
        <v>#N/A</v>
      </c>
      <c r="F119" s="263" t="str">
        <f>vlookup(B119,'Geotagging Master All-Training '!$A$2:$C$2474,3,false)</f>
        <v>#N/A</v>
      </c>
      <c r="G119" s="265" t="s">
        <v>20</v>
      </c>
      <c r="H119" s="258"/>
    </row>
    <row r="120" hidden="1">
      <c r="A120" s="258">
        <v>224.0</v>
      </c>
      <c r="B120" s="258">
        <v>224.0</v>
      </c>
      <c r="C120" s="260">
        <v>116.0</v>
      </c>
      <c r="D120" s="260" t="str">
        <f>IFERROR(__xludf.DUMMYFUNCTION("if(B120&lt;=999,if(B120&lt;=99,IF(B120&lt;=9,join(,""000"",B120),join(,""00"",B120)),join(,""0"",B120)),B120)"),"0224")</f>
        <v>0224</v>
      </c>
      <c r="E120" s="263" t="str">
        <f>vlookup(B120,'Geotagging Master All-Training '!$A$2:$C$2474,2,false)</f>
        <v>#N/A</v>
      </c>
      <c r="F120" s="263" t="str">
        <f>vlookup(B120,'Geotagging Master All-Training '!$A$2:$C$2474,3,false)</f>
        <v>#N/A</v>
      </c>
      <c r="G120" s="265" t="s">
        <v>20</v>
      </c>
      <c r="H120" s="258"/>
    </row>
    <row r="121" hidden="1">
      <c r="A121" s="258">
        <v>1405.0</v>
      </c>
      <c r="B121" s="258">
        <v>1405.0</v>
      </c>
      <c r="C121" s="260">
        <v>117.0</v>
      </c>
      <c r="D121" s="260">
        <f>IFERROR(__xludf.DUMMYFUNCTION("if(B121&lt;=999,if(B121&lt;=99,IF(B121&lt;=9,join(,""000"",B121),join(,""00"",B121)),join(,""0"",B121)),B121)"),1405.0)</f>
        <v>1405</v>
      </c>
      <c r="E121" s="263" t="str">
        <f>vlookup(B121,'Geotagging Master All-Training '!$A$2:$C$2474,2,false)</f>
        <v>#N/A</v>
      </c>
      <c r="F121" s="263" t="str">
        <f>vlookup(B121,'Geotagging Master All-Training '!$A$2:$C$2474,3,false)</f>
        <v>#N/A</v>
      </c>
      <c r="G121" s="265" t="s">
        <v>20</v>
      </c>
      <c r="H121" s="258"/>
    </row>
    <row r="122" hidden="1">
      <c r="A122" s="258">
        <v>1049.0</v>
      </c>
      <c r="B122" s="258">
        <v>1049.0</v>
      </c>
      <c r="C122" s="260">
        <v>118.0</v>
      </c>
      <c r="D122" s="260">
        <f>IFERROR(__xludf.DUMMYFUNCTION("if(B122&lt;=999,if(B122&lt;=99,IF(B122&lt;=9,join(,""000"",B122),join(,""00"",B122)),join(,""0"",B122)),B122)"),1049.0)</f>
        <v>1049</v>
      </c>
      <c r="E122" s="263" t="str">
        <f>vlookup(B122,'Geotagging Master All-Training '!$A$2:$C$2474,2,false)</f>
        <v>#N/A</v>
      </c>
      <c r="F122" s="263" t="str">
        <f>vlookup(B122,'Geotagging Master All-Training '!$A$2:$C$2474,3,false)</f>
        <v>#N/A</v>
      </c>
      <c r="G122" s="265" t="s">
        <v>20</v>
      </c>
      <c r="H122" s="258"/>
    </row>
    <row r="123" hidden="1">
      <c r="A123" s="258">
        <v>1142.0</v>
      </c>
      <c r="B123" s="258">
        <v>1142.0</v>
      </c>
      <c r="C123" s="260">
        <v>119.0</v>
      </c>
      <c r="D123" s="260">
        <f>IFERROR(__xludf.DUMMYFUNCTION("if(B123&lt;=999,if(B123&lt;=99,IF(B123&lt;=9,join(,""000"",B123),join(,""00"",B123)),join(,""0"",B123)),B123)"),1142.0)</f>
        <v>1142</v>
      </c>
      <c r="E123" s="263" t="str">
        <f>vlookup(B123,'Geotagging Master All-Training '!$A$2:$C$2474,2,false)</f>
        <v>#N/A</v>
      </c>
      <c r="F123" s="263" t="str">
        <f>vlookup(B123,'Geotagging Master All-Training '!$A$2:$C$2474,3,false)</f>
        <v>#N/A</v>
      </c>
      <c r="G123" s="265" t="s">
        <v>20</v>
      </c>
      <c r="H123" s="258"/>
    </row>
    <row r="124" hidden="1">
      <c r="A124" s="258">
        <v>1416.0</v>
      </c>
      <c r="B124" s="259">
        <v>1416.0</v>
      </c>
      <c r="C124" s="260">
        <v>120.0</v>
      </c>
      <c r="D124" s="260">
        <f>IFERROR(__xludf.DUMMYFUNCTION("if(B124&lt;=999,if(B124&lt;=99,IF(B124&lt;=9,join(,""000"",B124),join(,""00"",B124)),join(,""0"",B124)),B124)"),1416.0)</f>
        <v>1416</v>
      </c>
      <c r="E124" s="263" t="str">
        <f>vlookup(B124,'Geotagging Master All-Training '!$A$2:$C$2474,2,false)</f>
        <v>#N/A</v>
      </c>
      <c r="F124" s="263" t="str">
        <f>vlookup(B124,'Geotagging Master All-Training '!$A$2:$C$2474,3,false)</f>
        <v>#N/A</v>
      </c>
      <c r="G124" s="265" t="s">
        <v>20</v>
      </c>
      <c r="H124" s="258"/>
    </row>
    <row r="125" hidden="1">
      <c r="A125" s="258">
        <v>1345.0</v>
      </c>
      <c r="B125" s="258">
        <v>1345.0</v>
      </c>
      <c r="C125" s="260">
        <v>121.0</v>
      </c>
      <c r="D125" s="260">
        <f>IFERROR(__xludf.DUMMYFUNCTION("if(B125&lt;=999,if(B125&lt;=99,IF(B125&lt;=9,join(,""000"",B125),join(,""00"",B125)),join(,""0"",B125)),B125)"),1345.0)</f>
        <v>1345</v>
      </c>
      <c r="E125" s="263" t="str">
        <f>vlookup(B125,'Geotagging Master All-Training '!$A$2:$C$2474,2,false)</f>
        <v>#N/A</v>
      </c>
      <c r="F125" s="263" t="str">
        <f>vlookup(B125,'Geotagging Master All-Training '!$A$2:$C$2474,3,false)</f>
        <v>#N/A</v>
      </c>
      <c r="G125" s="265" t="s">
        <v>20</v>
      </c>
      <c r="H125" s="258"/>
    </row>
    <row r="126" hidden="1">
      <c r="A126" s="272">
        <v>1204.0</v>
      </c>
      <c r="B126" s="272">
        <v>1204.0</v>
      </c>
      <c r="C126" s="273">
        <v>123.0</v>
      </c>
      <c r="D126" s="273">
        <f>IFERROR(__xludf.DUMMYFUNCTION("if(B126&lt;=999,if(B126&lt;=99,IF(B126&lt;=9,join(,""000"",B126),join(,""00"",B126)),join(,""0"",B126)),B126)"),1204.0)</f>
        <v>1204</v>
      </c>
      <c r="E126" s="303" t="s">
        <v>1336</v>
      </c>
      <c r="F126" s="303" t="str">
        <f>vlookup(B126,'Geotagging Master All-Training '!$A$2:$C$2474,3,false)</f>
        <v>#N/A</v>
      </c>
      <c r="G126" s="276" t="s">
        <v>20</v>
      </c>
      <c r="H126" s="272"/>
    </row>
    <row r="127">
      <c r="A127" s="272">
        <v>461.0</v>
      </c>
      <c r="B127" s="272">
        <v>461.0</v>
      </c>
      <c r="C127" s="273"/>
      <c r="D127" s="273"/>
      <c r="E127" s="303"/>
      <c r="F127" s="303"/>
      <c r="G127" s="276"/>
      <c r="H127" s="273"/>
    </row>
    <row r="128" hidden="1">
      <c r="A128" s="258">
        <v>51.0</v>
      </c>
      <c r="B128" s="259">
        <v>51.0</v>
      </c>
      <c r="C128" s="260">
        <v>124.0</v>
      </c>
      <c r="D128" s="260" t="str">
        <f>IFERROR(__xludf.DUMMYFUNCTION("if(B128&lt;=999,if(B128&lt;=99,IF(B128&lt;=9,join(,""000"",B128),join(,""00"",B128)),join(,""0"",B128)),B128)"),"0051")</f>
        <v>0051</v>
      </c>
      <c r="E128" s="263" t="str">
        <f>vlookup(B128,'Geotagging Master All-Training '!$A$2:$C$2474,2,false)</f>
        <v>#N/A</v>
      </c>
      <c r="F128" s="263" t="str">
        <f>vlookup(B128,'Geotagging Master All-Training '!$A$2:$C$2474,3,false)</f>
        <v>#N/A</v>
      </c>
      <c r="G128" s="265" t="s">
        <v>20</v>
      </c>
      <c r="H128" s="258"/>
    </row>
    <row r="129" hidden="1">
      <c r="A129" s="258">
        <v>367.0</v>
      </c>
      <c r="B129" s="258">
        <v>367.0</v>
      </c>
      <c r="C129" s="260">
        <v>125.0</v>
      </c>
      <c r="D129" s="260" t="str">
        <f>IFERROR(__xludf.DUMMYFUNCTION("if(B129&lt;=999,if(B129&lt;=99,IF(B129&lt;=9,join(,""000"",B129),join(,""00"",B129)),join(,""0"",B129)),B129)"),"0367")</f>
        <v>0367</v>
      </c>
      <c r="E129" s="263" t="str">
        <f>vlookup(B129,'Geotagging Master All-Training '!$A$2:$C$2474,2,false)</f>
        <v>#N/A</v>
      </c>
      <c r="F129" s="263" t="str">
        <f>vlookup(B129,'Geotagging Master All-Training '!$A$2:$C$2474,3,false)</f>
        <v>#N/A</v>
      </c>
      <c r="G129" s="265" t="s">
        <v>20</v>
      </c>
      <c r="H129" s="258"/>
    </row>
    <row r="130" hidden="1">
      <c r="A130" s="258">
        <v>1032.0</v>
      </c>
      <c r="B130" s="258">
        <v>1032.0</v>
      </c>
      <c r="C130" s="260">
        <v>126.0</v>
      </c>
      <c r="D130" s="260">
        <f>IFERROR(__xludf.DUMMYFUNCTION("if(B130&lt;=999,if(B130&lt;=99,IF(B130&lt;=9,join(,""000"",B130),join(,""00"",B130)),join(,""0"",B130)),B130)"),1032.0)</f>
        <v>1032</v>
      </c>
      <c r="E130" s="263" t="str">
        <f>vlookup(B130,'Geotagging Master All-Training '!$A$2:$C$2474,2,false)</f>
        <v>#N/A</v>
      </c>
      <c r="F130" s="263" t="str">
        <f>vlookup(B130,'Geotagging Master All-Training '!$A$2:$C$2474,3,false)</f>
        <v>#N/A</v>
      </c>
      <c r="G130" s="265" t="s">
        <v>20</v>
      </c>
      <c r="H130" s="258"/>
    </row>
    <row r="131" hidden="1">
      <c r="A131" s="272">
        <v>1094.0</v>
      </c>
      <c r="B131" s="272">
        <v>1094.0</v>
      </c>
      <c r="C131" s="260">
        <v>127.0</v>
      </c>
      <c r="D131" s="273">
        <f>IFERROR(__xludf.DUMMYFUNCTION("if(B131&lt;=999,if(B131&lt;=99,IF(B131&lt;=9,join(,""000"",B131),join(,""00"",B131)),join(,""0"",B131)),B131)"),1094.0)</f>
        <v>1094</v>
      </c>
      <c r="E131" s="263" t="str">
        <f>vlookup(B131,'Geotagging Master All-Training '!$A$2:$C$2474,2,false)</f>
        <v>#N/A</v>
      </c>
      <c r="F131" s="263" t="str">
        <f>vlookup(B131,'Geotagging Master All-Training '!$A$2:$C$2474,3,false)</f>
        <v>#N/A</v>
      </c>
      <c r="G131" s="276" t="s">
        <v>20</v>
      </c>
      <c r="H131" s="272"/>
    </row>
    <row r="132" hidden="1">
      <c r="A132" s="258">
        <v>1340.0</v>
      </c>
      <c r="B132" s="258">
        <v>1340.0</v>
      </c>
      <c r="C132" s="260">
        <v>128.0</v>
      </c>
      <c r="D132" s="260">
        <f>IFERROR(__xludf.DUMMYFUNCTION("if(B132&lt;=999,if(B132&lt;=99,IF(B132&lt;=9,join(,""000"",B132),join(,""00"",B132)),join(,""0"",B132)),B132)"),1340.0)</f>
        <v>1340</v>
      </c>
      <c r="E132" s="263" t="str">
        <f>vlookup(B132,'Geotagging Master All-Training '!$A$2:$C$2474,2,false)</f>
        <v>#N/A</v>
      </c>
      <c r="F132" s="263" t="str">
        <f>vlookup(B132,'Geotagging Master All-Training '!$A$2:$C$2474,3,false)</f>
        <v>#N/A</v>
      </c>
      <c r="G132" s="265" t="s">
        <v>20</v>
      </c>
      <c r="H132" s="258"/>
    </row>
    <row r="133" hidden="1">
      <c r="A133" s="258">
        <v>1122.0</v>
      </c>
      <c r="B133" s="259">
        <v>1122.0</v>
      </c>
      <c r="C133" s="260">
        <v>129.0</v>
      </c>
      <c r="D133" s="260">
        <f>IFERROR(__xludf.DUMMYFUNCTION("if(B133&lt;=999,if(B133&lt;=99,IF(B133&lt;=9,join(,""000"",B133),join(,""00"",B133)),join(,""0"",B133)),B133)"),1122.0)</f>
        <v>1122</v>
      </c>
      <c r="E133" s="263" t="str">
        <f>vlookup(B133,'Geotagging Master All-Training '!$A$2:$C$2474,2,false)</f>
        <v>#N/A</v>
      </c>
      <c r="F133" s="263" t="str">
        <f>vlookup(B133,'Geotagging Master All-Training '!$A$2:$C$2474,3,false)</f>
        <v>#N/A</v>
      </c>
      <c r="G133" s="265" t="s">
        <v>20</v>
      </c>
      <c r="H133" s="258"/>
    </row>
    <row r="134" hidden="1">
      <c r="A134" s="272">
        <v>1279.0</v>
      </c>
      <c r="B134" s="272">
        <v>1279.0</v>
      </c>
      <c r="C134" s="260">
        <v>130.0</v>
      </c>
      <c r="D134" s="273">
        <f>IFERROR(__xludf.DUMMYFUNCTION("if(B134&lt;=999,if(B134&lt;=99,IF(B134&lt;=9,join(,""000"",B134),join(,""00"",B134)),join(,""0"",B134)),B134)"),1279.0)</f>
        <v>1279</v>
      </c>
      <c r="E134" s="263" t="str">
        <f>vlookup(B134,'Geotagging Master All-Training '!$A$2:$C$2474,2,false)</f>
        <v>#N/A</v>
      </c>
      <c r="F134" s="263" t="str">
        <f>vlookup(B134,'Geotagging Master All-Training '!$A$2:$C$2474,3,false)</f>
        <v>#N/A</v>
      </c>
      <c r="G134" s="276" t="s">
        <v>20</v>
      </c>
      <c r="H134" s="272"/>
    </row>
    <row r="135" hidden="1">
      <c r="A135" s="258">
        <v>1105.0</v>
      </c>
      <c r="B135" s="259">
        <v>1105.0</v>
      </c>
      <c r="C135" s="260">
        <v>131.0</v>
      </c>
      <c r="D135" s="260">
        <f>IFERROR(__xludf.DUMMYFUNCTION("if(B135&lt;=999,if(B135&lt;=99,IF(B135&lt;=9,join(,""000"",B135),join(,""00"",B135)),join(,""0"",B135)),B135)"),1105.0)</f>
        <v>1105</v>
      </c>
      <c r="E135" s="263" t="str">
        <f>vlookup(B135,'Geotagging Master All-Training '!$A$2:$C$2474,2,false)</f>
        <v>#N/A</v>
      </c>
      <c r="F135" s="263" t="str">
        <f>vlookup(B135,'Geotagging Master All-Training '!$A$2:$C$2474,3,false)</f>
        <v>#N/A</v>
      </c>
      <c r="G135" s="265" t="s">
        <v>20</v>
      </c>
      <c r="H135" s="258"/>
    </row>
    <row r="136" hidden="1">
      <c r="A136" s="258">
        <v>1454.0</v>
      </c>
      <c r="B136" s="259">
        <v>1454.0</v>
      </c>
      <c r="C136" s="260">
        <v>132.0</v>
      </c>
      <c r="D136" s="260">
        <f>IFERROR(__xludf.DUMMYFUNCTION("if(B136&lt;=999,if(B136&lt;=99,IF(B136&lt;=9,join(,""000"",B136),join(,""00"",B136)),join(,""0"",B136)),B136)"),1454.0)</f>
        <v>1454</v>
      </c>
      <c r="E136" s="263" t="str">
        <f>vlookup(B136,'Geotagging Master All-Training '!$A$2:$C$2474,2,false)</f>
        <v>#N/A</v>
      </c>
      <c r="F136" s="263" t="str">
        <f>vlookup(B136,'Geotagging Master All-Training '!$A$2:$C$2474,3,false)</f>
        <v>#N/A</v>
      </c>
      <c r="G136" s="265" t="s">
        <v>20</v>
      </c>
      <c r="H136" s="258"/>
    </row>
    <row r="137" hidden="1">
      <c r="A137" s="258">
        <v>1411.0</v>
      </c>
      <c r="B137" s="258">
        <v>1411.0</v>
      </c>
      <c r="C137" s="260">
        <v>133.0</v>
      </c>
      <c r="D137" s="260">
        <f>IFERROR(__xludf.DUMMYFUNCTION("if(B137&lt;=999,if(B137&lt;=99,IF(B137&lt;=9,join(,""000"",B137),join(,""00"",B137)),join(,""0"",B137)),B137)"),1411.0)</f>
        <v>1411</v>
      </c>
      <c r="E137" s="263" t="str">
        <f>vlookup(B137,'Geotagging Master All-Training '!$A$2:$C$2474,2,false)</f>
        <v>#N/A</v>
      </c>
      <c r="F137" s="263" t="str">
        <f>vlookup(B137,'Geotagging Master All-Training '!$A$2:$C$2474,3,false)</f>
        <v>#N/A</v>
      </c>
      <c r="G137" s="265" t="s">
        <v>20</v>
      </c>
      <c r="H137" s="258"/>
    </row>
    <row r="138" hidden="1">
      <c r="A138" s="258">
        <v>1116.0</v>
      </c>
      <c r="B138" s="258">
        <v>1116.0</v>
      </c>
      <c r="C138" s="260">
        <v>134.0</v>
      </c>
      <c r="D138" s="260">
        <f>IFERROR(__xludf.DUMMYFUNCTION("if(B138&lt;=999,if(B138&lt;=99,IF(B138&lt;=9,join(,""000"",B138),join(,""00"",B138)),join(,""0"",B138)),B138)"),1116.0)</f>
        <v>1116</v>
      </c>
      <c r="E138" s="263" t="str">
        <f>vlookup(B138,'Geotagging Master All-Training '!$A$2:$C$2474,2,false)</f>
        <v>#N/A</v>
      </c>
      <c r="F138" s="263" t="str">
        <f>vlookup(B138,'Geotagging Master All-Training '!$A$2:$C$2474,3,false)</f>
        <v>#N/A</v>
      </c>
      <c r="G138" s="265" t="s">
        <v>20</v>
      </c>
      <c r="H138" s="258"/>
    </row>
    <row r="139" hidden="1">
      <c r="A139" s="258">
        <v>2.0</v>
      </c>
      <c r="B139" s="258">
        <v>2.0</v>
      </c>
      <c r="C139" s="260">
        <v>135.0</v>
      </c>
      <c r="D139" s="260" t="str">
        <f>IFERROR(__xludf.DUMMYFUNCTION("if(B139&lt;=999,if(B139&lt;=99,IF(B139&lt;=9,join(,""000"",B139),join(,""00"",B139)),join(,""0"",B139)),B139)"),"0002")</f>
        <v>0002</v>
      </c>
      <c r="E139" s="263" t="str">
        <f>vlookup(B139,'Geotagging Master All-Training '!$A$2:$C$2474,2,false)</f>
        <v>#N/A</v>
      </c>
      <c r="F139" s="263" t="str">
        <f>vlookup(B139,'Geotagging Master All-Training '!$A$2:$C$2474,3,false)</f>
        <v>#N/A</v>
      </c>
      <c r="G139" s="265" t="s">
        <v>20</v>
      </c>
      <c r="H139" s="258"/>
    </row>
    <row r="140" hidden="1">
      <c r="A140" s="258">
        <v>820.0</v>
      </c>
      <c r="B140" s="258">
        <v>820.0</v>
      </c>
      <c r="C140" s="260">
        <v>136.0</v>
      </c>
      <c r="D140" s="260" t="str">
        <f>IFERROR(__xludf.DUMMYFUNCTION("if(B140&lt;=999,if(B140&lt;=99,IF(B140&lt;=9,join(,""000"",B140),join(,""00"",B140)),join(,""0"",B140)),B140)"),"0820")</f>
        <v>0820</v>
      </c>
      <c r="E140" s="263" t="str">
        <f>vlookup(B140,'Geotagging Master All-Training '!$A$2:$C$2474,2,false)</f>
        <v>#N/A</v>
      </c>
      <c r="F140" s="263" t="str">
        <f>vlookup(B140,'Geotagging Master All-Training '!$A$2:$C$2474,3,false)</f>
        <v>#N/A</v>
      </c>
      <c r="G140" s="265" t="s">
        <v>20</v>
      </c>
      <c r="H140" s="258"/>
    </row>
    <row r="141">
      <c r="A141" s="272">
        <v>1324.0</v>
      </c>
      <c r="B141" s="272">
        <v>1324.0</v>
      </c>
      <c r="C141" s="273"/>
      <c r="D141" s="273"/>
      <c r="E141" s="303"/>
      <c r="F141" s="303"/>
      <c r="G141" s="276"/>
      <c r="H141" s="273"/>
    </row>
    <row r="142" hidden="1">
      <c r="A142" s="258">
        <v>240.0</v>
      </c>
      <c r="B142" s="259">
        <v>240.0</v>
      </c>
      <c r="C142" s="260">
        <v>138.0</v>
      </c>
      <c r="D142" s="260" t="str">
        <f>IFERROR(__xludf.DUMMYFUNCTION("if(B142&lt;=999,if(B142&lt;=99,IF(B142&lt;=9,join(,""000"",B142),join(,""00"",B142)),join(,""0"",B142)),B142)"),"0240")</f>
        <v>0240</v>
      </c>
      <c r="E142" s="263" t="str">
        <f>vlookup(B142,'Geotagging Master All-Training '!$A$2:$C$2474,2,false)</f>
        <v>#N/A</v>
      </c>
      <c r="F142" s="263" t="str">
        <f>vlookup(B142,'Geotagging Master All-Training '!$A$2:$C$2474,3,false)</f>
        <v>#N/A</v>
      </c>
      <c r="G142" s="265" t="s">
        <v>20</v>
      </c>
      <c r="H142" s="258"/>
    </row>
    <row r="143" hidden="1">
      <c r="A143" s="258">
        <v>1343.0</v>
      </c>
      <c r="B143" s="259">
        <v>1343.0</v>
      </c>
      <c r="C143" s="260">
        <v>139.0</v>
      </c>
      <c r="D143" s="260">
        <f>IFERROR(__xludf.DUMMYFUNCTION("if(B143&lt;=999,if(B143&lt;=99,IF(B143&lt;=9,join(,""000"",B143),join(,""00"",B143)),join(,""0"",B143)),B143)"),1343.0)</f>
        <v>1343</v>
      </c>
      <c r="E143" s="263" t="str">
        <f>vlookup(B143,'Geotagging Master All-Training '!$A$2:$C$2474,2,false)</f>
        <v>#N/A</v>
      </c>
      <c r="F143" s="263" t="str">
        <f>vlookup(B143,'Geotagging Master All-Training '!$A$2:$C$2474,3,false)</f>
        <v>#N/A</v>
      </c>
      <c r="G143" s="265" t="s">
        <v>20</v>
      </c>
      <c r="H143" s="258"/>
    </row>
    <row r="144" hidden="1">
      <c r="A144" s="258">
        <v>799.0</v>
      </c>
      <c r="B144" s="258">
        <v>799.0</v>
      </c>
      <c r="C144" s="260">
        <v>140.0</v>
      </c>
      <c r="D144" s="260" t="str">
        <f>IFERROR(__xludf.DUMMYFUNCTION("if(B144&lt;=999,if(B144&lt;=99,IF(B144&lt;=9,join(,""000"",B144),join(,""00"",B144)),join(,""0"",B144)),B144)"),"0799")</f>
        <v>0799</v>
      </c>
      <c r="E144" s="263" t="str">
        <f>vlookup(B144,'Geotagging Master All-Training '!$A$2:$C$2474,2,false)</f>
        <v>#N/A</v>
      </c>
      <c r="F144" s="263" t="str">
        <f>vlookup(B144,'Geotagging Master All-Training '!$A$2:$C$2474,3,false)</f>
        <v>#N/A</v>
      </c>
      <c r="G144" s="265" t="s">
        <v>20</v>
      </c>
      <c r="H144" s="258"/>
    </row>
    <row r="145" hidden="1">
      <c r="A145" s="258">
        <v>1429.0</v>
      </c>
      <c r="B145" s="259">
        <v>1429.0</v>
      </c>
      <c r="C145" s="260">
        <v>141.0</v>
      </c>
      <c r="D145" s="260">
        <f>IFERROR(__xludf.DUMMYFUNCTION("if(B145&lt;=999,if(B145&lt;=99,IF(B145&lt;=9,join(,""000"",B145),join(,""00"",B145)),join(,""0"",B145)),B145)"),1429.0)</f>
        <v>1429</v>
      </c>
      <c r="E145" s="263" t="str">
        <f>vlookup(B145,'Geotagging Master All-Training '!$A$2:$C$2474,2,false)</f>
        <v>#N/A</v>
      </c>
      <c r="F145" s="263" t="str">
        <f>vlookup(B145,'Geotagging Master All-Training '!$A$2:$C$2474,3,false)</f>
        <v>#N/A</v>
      </c>
      <c r="G145" s="265" t="s">
        <v>20</v>
      </c>
      <c r="H145" s="258"/>
    </row>
    <row r="146" hidden="1">
      <c r="A146" s="258">
        <v>1051.0</v>
      </c>
      <c r="B146" s="259">
        <v>1051.0</v>
      </c>
      <c r="C146" s="260">
        <v>142.0</v>
      </c>
      <c r="D146" s="260">
        <f>IFERROR(__xludf.DUMMYFUNCTION("if(B146&lt;=999,if(B146&lt;=99,IF(B146&lt;=9,join(,""000"",B146),join(,""00"",B146)),join(,""0"",B146)),B146)"),1051.0)</f>
        <v>1051</v>
      </c>
      <c r="E146" s="263" t="str">
        <f>vlookup(B146,'Geotagging Master All-Training '!$A$2:$C$2474,2,false)</f>
        <v>#N/A</v>
      </c>
      <c r="F146" s="263" t="str">
        <f>vlookup(B146,'Geotagging Master All-Training '!$A$2:$C$2474,3,false)</f>
        <v>#N/A</v>
      </c>
      <c r="G146" s="265" t="s">
        <v>20</v>
      </c>
      <c r="H146" s="258"/>
    </row>
    <row r="147" hidden="1">
      <c r="A147" s="258">
        <v>976.0</v>
      </c>
      <c r="B147" s="258">
        <v>976.0</v>
      </c>
      <c r="C147" s="260">
        <v>143.0</v>
      </c>
      <c r="D147" s="260" t="str">
        <f>IFERROR(__xludf.DUMMYFUNCTION("if(B147&lt;=999,if(B147&lt;=99,IF(B147&lt;=9,join(,""000"",B147),join(,""00"",B147)),join(,""0"",B147)),B147)"),"0976")</f>
        <v>0976</v>
      </c>
      <c r="E147" s="263" t="str">
        <f>vlookup(B147,'Geotagging Master All-Training '!$A$2:$C$2474,2,false)</f>
        <v>#N/A</v>
      </c>
      <c r="F147" s="263" t="str">
        <f>vlookup(B147,'Geotagging Master All-Training '!$A$2:$C$2474,3,false)</f>
        <v>#N/A</v>
      </c>
      <c r="G147" s="265" t="s">
        <v>20</v>
      </c>
      <c r="H147" s="258"/>
    </row>
    <row r="148" hidden="1">
      <c r="A148" s="272">
        <v>77.0</v>
      </c>
      <c r="B148" s="272">
        <v>77.0</v>
      </c>
      <c r="C148" s="273">
        <v>160.0</v>
      </c>
      <c r="D148" s="273" t="str">
        <f>IFERROR(__xludf.DUMMYFUNCTION("if(B148&lt;=999,if(B148&lt;=99,IF(B148&lt;=9,join(,""000"",B148),join(,""00"",B148)),join(,""0"",B148)),B148)"),"0077")</f>
        <v>0077</v>
      </c>
      <c r="E148" s="303" t="str">
        <f>vlookup(B148,'Geotagging Master All-Training '!$A$2:$C$2474,2,false)</f>
        <v>#N/A</v>
      </c>
      <c r="F148" s="303" t="str">
        <f>vlookup(B148,'Geotagging Master All-Training '!$A$2:$C$2474,3,false)</f>
        <v>#N/A</v>
      </c>
      <c r="G148" s="276" t="s">
        <v>20</v>
      </c>
      <c r="H148" s="272"/>
    </row>
    <row r="149" hidden="1">
      <c r="A149" s="258">
        <v>1250.0</v>
      </c>
      <c r="B149" s="259">
        <v>1250.0</v>
      </c>
      <c r="C149" s="260">
        <v>145.0</v>
      </c>
      <c r="D149" s="260">
        <f>IFERROR(__xludf.DUMMYFUNCTION("if(B149&lt;=999,if(B149&lt;=99,IF(B149&lt;=9,join(,""000"",B149),join(,""00"",B149)),join(,""0"",B149)),B149)"),1250.0)</f>
        <v>1250</v>
      </c>
      <c r="E149" s="263" t="str">
        <f>vlookup(B149,'Geotagging Master All-Training '!$A$2:$C$2474,2,false)</f>
        <v>#N/A</v>
      </c>
      <c r="F149" s="263" t="str">
        <f>vlookup(B149,'Geotagging Master All-Training '!$A$2:$C$2474,3,false)</f>
        <v>#N/A</v>
      </c>
      <c r="G149" s="265" t="s">
        <v>20</v>
      </c>
      <c r="H149" s="258"/>
    </row>
    <row r="150" hidden="1">
      <c r="A150" s="258">
        <v>1424.0</v>
      </c>
      <c r="B150" s="259">
        <v>1424.0</v>
      </c>
      <c r="C150" s="260">
        <v>146.0</v>
      </c>
      <c r="D150" s="260">
        <f>IFERROR(__xludf.DUMMYFUNCTION("if(B150&lt;=999,if(B150&lt;=99,IF(B150&lt;=9,join(,""000"",B150),join(,""00"",B150)),join(,""0"",B150)),B150)"),1424.0)</f>
        <v>1424</v>
      </c>
      <c r="E150" s="263" t="str">
        <f>vlookup(B150,'Geotagging Master All-Training '!$A$2:$C$2474,2,false)</f>
        <v>#N/A</v>
      </c>
      <c r="F150" s="263" t="str">
        <f>vlookup(B150,'Geotagging Master All-Training '!$A$2:$C$2474,3,false)</f>
        <v>#N/A</v>
      </c>
      <c r="G150" s="265" t="s">
        <v>20</v>
      </c>
      <c r="H150" s="258"/>
    </row>
    <row r="151" hidden="1">
      <c r="A151" s="258">
        <v>1356.0</v>
      </c>
      <c r="B151" s="258">
        <v>1356.0</v>
      </c>
      <c r="C151" s="260">
        <v>147.0</v>
      </c>
      <c r="D151" s="260">
        <f>IFERROR(__xludf.DUMMYFUNCTION("if(B151&lt;=999,if(B151&lt;=99,IF(B151&lt;=9,join(,""000"",B151),join(,""00"",B151)),join(,""0"",B151)),B151)"),1356.0)</f>
        <v>1356</v>
      </c>
      <c r="E151" s="263" t="str">
        <f>vlookup(B151,'Geotagging Master All-Training '!$A$2:$C$2474,2,false)</f>
        <v>#N/A</v>
      </c>
      <c r="F151" s="263" t="str">
        <f>vlookup(B151,'Geotagging Master All-Training '!$A$2:$C$2474,3,false)</f>
        <v>#N/A</v>
      </c>
      <c r="G151" s="265" t="s">
        <v>20</v>
      </c>
      <c r="H151" s="258"/>
    </row>
    <row r="152" hidden="1">
      <c r="A152" s="258">
        <v>1019.0</v>
      </c>
      <c r="B152" s="258">
        <v>1019.0</v>
      </c>
      <c r="C152" s="260">
        <v>148.0</v>
      </c>
      <c r="D152" s="260">
        <f>IFERROR(__xludf.DUMMYFUNCTION("if(B152&lt;=999,if(B152&lt;=99,IF(B152&lt;=9,join(,""000"",B152),join(,""00"",B152)),join(,""0"",B152)),B152)"),1019.0)</f>
        <v>1019</v>
      </c>
      <c r="E152" s="263" t="str">
        <f>vlookup(B152,'Geotagging Master All-Training '!$A$2:$C$2474,2,false)</f>
        <v>#N/A</v>
      </c>
      <c r="F152" s="263" t="str">
        <f>vlookup(B152,'Geotagging Master All-Training '!$A$2:$C$2474,3,false)</f>
        <v>#N/A</v>
      </c>
      <c r="G152" s="265" t="s">
        <v>20</v>
      </c>
      <c r="H152" s="258"/>
    </row>
    <row r="153" hidden="1">
      <c r="A153" s="258">
        <v>1066.0</v>
      </c>
      <c r="B153" s="259">
        <v>1066.0</v>
      </c>
      <c r="C153" s="260">
        <v>149.0</v>
      </c>
      <c r="D153" s="260">
        <f>IFERROR(__xludf.DUMMYFUNCTION("if(B153&lt;=999,if(B153&lt;=99,IF(B153&lt;=9,join(,""000"",B153),join(,""00"",B153)),join(,""0"",B153)),B153)"),1066.0)</f>
        <v>1066</v>
      </c>
      <c r="E153" s="263" t="str">
        <f>vlookup(B153,'Geotagging Master All-Training '!$A$2:$C$2474,2,false)</f>
        <v>#N/A</v>
      </c>
      <c r="F153" s="263" t="str">
        <f>vlookup(B153,'Geotagging Master All-Training '!$A$2:$C$2474,3,false)</f>
        <v>#N/A</v>
      </c>
      <c r="G153" s="265" t="s">
        <v>20</v>
      </c>
      <c r="H153" s="258"/>
    </row>
    <row r="154" hidden="1">
      <c r="A154" s="272">
        <v>1355.0</v>
      </c>
      <c r="B154" s="272">
        <v>1355.0</v>
      </c>
      <c r="C154" s="260">
        <v>150.0</v>
      </c>
      <c r="D154" s="273">
        <f>IFERROR(__xludf.DUMMYFUNCTION("if(B154&lt;=999,if(B154&lt;=99,IF(B154&lt;=9,join(,""000"",B154),join(,""00"",B154)),join(,""0"",B154)),B154)"),1355.0)</f>
        <v>1355</v>
      </c>
      <c r="E154" s="263" t="str">
        <f>vlookup(B154,'Geotagging Master All-Training '!$A$2:$C$2474,2,false)</f>
        <v>#N/A</v>
      </c>
      <c r="F154" s="263" t="str">
        <f>vlookup(B154,'Geotagging Master All-Training '!$A$2:$C$2474,3,false)</f>
        <v>#N/A</v>
      </c>
      <c r="G154" s="276" t="s">
        <v>20</v>
      </c>
      <c r="H154" s="272"/>
    </row>
    <row r="155" hidden="1">
      <c r="A155" s="258">
        <v>1140.0</v>
      </c>
      <c r="B155" s="258">
        <v>1140.0</v>
      </c>
      <c r="C155" s="260">
        <v>151.0</v>
      </c>
      <c r="D155" s="260">
        <f>IFERROR(__xludf.DUMMYFUNCTION("if(B155&lt;=999,if(B155&lt;=99,IF(B155&lt;=9,join(,""000"",B155),join(,""00"",B155)),join(,""0"",B155)),B155)"),1140.0)</f>
        <v>1140</v>
      </c>
      <c r="E155" s="263" t="str">
        <f>vlookup(B155,'Geotagging Master All-Training '!$A$2:$C$2474,2,false)</f>
        <v>#N/A</v>
      </c>
      <c r="F155" s="263" t="str">
        <f>vlookup(B155,'Geotagging Master All-Training '!$A$2:$C$2474,3,false)</f>
        <v>#N/A</v>
      </c>
      <c r="G155" s="265" t="s">
        <v>20</v>
      </c>
      <c r="H155" s="258"/>
    </row>
    <row r="156" hidden="1">
      <c r="A156" s="258">
        <v>1127.0</v>
      </c>
      <c r="B156" s="258">
        <v>1127.0</v>
      </c>
      <c r="C156" s="260">
        <v>152.0</v>
      </c>
      <c r="D156" s="260">
        <f>IFERROR(__xludf.DUMMYFUNCTION("if(B156&lt;=999,if(B156&lt;=99,IF(B156&lt;=9,join(,""000"",B156),join(,""00"",B156)),join(,""0"",B156)),B156)"),1127.0)</f>
        <v>1127</v>
      </c>
      <c r="E156" s="263" t="str">
        <f>vlookup(B156,'Geotagging Master All-Training '!$A$2:$C$2474,2,false)</f>
        <v>#N/A</v>
      </c>
      <c r="F156" s="263" t="str">
        <f>vlookup(B156,'Geotagging Master All-Training '!$A$2:$C$2474,3,false)</f>
        <v>#N/A</v>
      </c>
      <c r="G156" s="265" t="s">
        <v>20</v>
      </c>
      <c r="H156" s="258"/>
    </row>
    <row r="157" hidden="1">
      <c r="A157" s="258">
        <v>1136.0</v>
      </c>
      <c r="B157" s="258">
        <v>1136.0</v>
      </c>
      <c r="C157" s="260">
        <v>153.0</v>
      </c>
      <c r="D157" s="260">
        <f>IFERROR(__xludf.DUMMYFUNCTION("if(B157&lt;=999,if(B157&lt;=99,IF(B157&lt;=9,join(,""000"",B157),join(,""00"",B157)),join(,""0"",B157)),B157)"),1136.0)</f>
        <v>1136</v>
      </c>
      <c r="E157" s="263" t="str">
        <f>vlookup(B157,'Geotagging Master All-Training '!$A$2:$C$2474,2,false)</f>
        <v>#N/A</v>
      </c>
      <c r="F157" s="263" t="str">
        <f>vlookup(B157,'Geotagging Master All-Training '!$A$2:$C$2474,3,false)</f>
        <v>#N/A</v>
      </c>
      <c r="G157" s="265" t="s">
        <v>20</v>
      </c>
      <c r="H157" s="258"/>
    </row>
    <row r="158" hidden="1">
      <c r="A158" s="258">
        <v>1317.0</v>
      </c>
      <c r="B158" s="258">
        <v>1317.0</v>
      </c>
      <c r="C158" s="260">
        <v>154.0</v>
      </c>
      <c r="D158" s="260">
        <f>IFERROR(__xludf.DUMMYFUNCTION("if(B158&lt;=999,if(B158&lt;=99,IF(B158&lt;=9,join(,""000"",B158),join(,""00"",B158)),join(,""0"",B158)),B158)"),1317.0)</f>
        <v>1317</v>
      </c>
      <c r="E158" s="263" t="str">
        <f>vlookup(B158,'Geotagging Master All-Training '!$A$2:$C$2474,2,false)</f>
        <v>#N/A</v>
      </c>
      <c r="F158" s="263" t="str">
        <f>vlookup(B158,'Geotagging Master All-Training '!$A$2:$C$2474,3,false)</f>
        <v>#N/A</v>
      </c>
      <c r="G158" s="265" t="s">
        <v>20</v>
      </c>
      <c r="H158" s="258"/>
    </row>
    <row r="159" hidden="1">
      <c r="A159" s="258">
        <v>1425.0</v>
      </c>
      <c r="B159" s="258">
        <v>1425.0</v>
      </c>
      <c r="C159" s="260">
        <v>155.0</v>
      </c>
      <c r="D159" s="260">
        <f>IFERROR(__xludf.DUMMYFUNCTION("if(B159&lt;=999,if(B159&lt;=99,IF(B159&lt;=9,join(,""000"",B159),join(,""00"",B159)),join(,""0"",B159)),B159)"),1425.0)</f>
        <v>1425</v>
      </c>
      <c r="E159" s="263" t="str">
        <f>vlookup(B159,'Geotagging Master All-Training '!$A$2:$C$2474,2,false)</f>
        <v>#N/A</v>
      </c>
      <c r="F159" s="263" t="str">
        <f>vlookup(B159,'Geotagging Master All-Training '!$A$2:$C$2474,3,false)</f>
        <v>#N/A</v>
      </c>
      <c r="G159" s="265" t="s">
        <v>20</v>
      </c>
      <c r="H159" s="258"/>
    </row>
    <row r="160" hidden="1">
      <c r="A160" s="258">
        <v>1097.0</v>
      </c>
      <c r="B160" s="258">
        <v>1097.0</v>
      </c>
      <c r="C160" s="260">
        <v>156.0</v>
      </c>
      <c r="D160" s="260">
        <f>IFERROR(__xludf.DUMMYFUNCTION("if(B160&lt;=999,if(B160&lt;=99,IF(B160&lt;=9,join(,""000"",B160),join(,""00"",B160)),join(,""0"",B160)),B160)"),1097.0)</f>
        <v>1097</v>
      </c>
      <c r="E160" s="263" t="str">
        <f>vlookup(B160,'Geotagging Master All-Training '!$A$2:$C$2474,2,false)</f>
        <v>#N/A</v>
      </c>
      <c r="F160" s="263" t="str">
        <f>vlookup(B160,'Geotagging Master All-Training '!$A$2:$C$2474,3,false)</f>
        <v>#N/A</v>
      </c>
      <c r="G160" s="265" t="s">
        <v>20</v>
      </c>
      <c r="H160" s="258"/>
    </row>
    <row r="161" hidden="1">
      <c r="A161" s="258">
        <v>1245.0</v>
      </c>
      <c r="B161" s="258">
        <v>1245.0</v>
      </c>
      <c r="C161" s="260">
        <v>157.0</v>
      </c>
      <c r="D161" s="260">
        <f>IFERROR(__xludf.DUMMYFUNCTION("if(B161&lt;=999,if(B161&lt;=99,IF(B161&lt;=9,join(,""000"",B161),join(,""00"",B161)),join(,""0"",B161)),B161)"),1245.0)</f>
        <v>1245</v>
      </c>
      <c r="E161" s="263" t="str">
        <f>vlookup(B161,'Geotagging Master All-Training '!$A$2:$C$2474,2,false)</f>
        <v>#N/A</v>
      </c>
      <c r="F161" s="263" t="str">
        <f>vlookup(B161,'Geotagging Master All-Training '!$A$2:$C$2474,3,false)</f>
        <v>#N/A</v>
      </c>
      <c r="G161" s="265" t="s">
        <v>20</v>
      </c>
      <c r="H161" s="258"/>
    </row>
    <row r="162" hidden="1">
      <c r="A162" s="258">
        <v>1099.0</v>
      </c>
      <c r="B162" s="258">
        <v>1099.0</v>
      </c>
      <c r="C162" s="260">
        <v>158.0</v>
      </c>
      <c r="D162" s="260">
        <f>IFERROR(__xludf.DUMMYFUNCTION("if(B162&lt;=999,if(B162&lt;=99,IF(B162&lt;=9,join(,""000"",B162),join(,""00"",B162)),join(,""0"",B162)),B162)"),1099.0)</f>
        <v>1099</v>
      </c>
      <c r="E162" s="263" t="str">
        <f>vlookup(B162,'Geotagging Master All-Training '!$A$2:$C$2474,2,false)</f>
        <v>#N/A</v>
      </c>
      <c r="F162" s="263" t="str">
        <f>vlookup(B162,'Geotagging Master All-Training '!$A$2:$C$2474,3,false)</f>
        <v>#N/A</v>
      </c>
      <c r="G162" s="265" t="s">
        <v>20</v>
      </c>
      <c r="H162" s="258"/>
    </row>
    <row r="163" hidden="1">
      <c r="A163" s="258">
        <v>1256.0</v>
      </c>
      <c r="B163" s="259">
        <v>1256.0</v>
      </c>
      <c r="C163" s="260">
        <v>159.0</v>
      </c>
      <c r="D163" s="260">
        <f>IFERROR(__xludf.DUMMYFUNCTION("if(B163&lt;=999,if(B163&lt;=99,IF(B163&lt;=9,join(,""000"",B163),join(,""00"",B163)),join(,""0"",B163)),B163)"),1256.0)</f>
        <v>1256</v>
      </c>
      <c r="E163" s="263" t="str">
        <f>vlookup(B163,'Geotagging Master All-Training '!$A$2:$C$2474,2,false)</f>
        <v>#N/A</v>
      </c>
      <c r="F163" s="263" t="str">
        <f>vlookup(B163,'Geotagging Master All-Training '!$A$2:$C$2474,3,false)</f>
        <v>#N/A</v>
      </c>
      <c r="G163" s="265" t="s">
        <v>20</v>
      </c>
      <c r="H163" s="258"/>
    </row>
    <row r="164">
      <c r="A164" s="272">
        <v>469.0</v>
      </c>
      <c r="B164" s="272">
        <v>469.0</v>
      </c>
      <c r="C164" s="273"/>
      <c r="D164" s="273"/>
      <c r="E164" s="303"/>
      <c r="F164" s="303"/>
      <c r="G164" s="276"/>
      <c r="H164" s="273"/>
    </row>
    <row r="165" hidden="1">
      <c r="A165" s="258">
        <v>742.0</v>
      </c>
      <c r="B165" s="258">
        <v>742.0</v>
      </c>
      <c r="C165" s="260">
        <v>161.0</v>
      </c>
      <c r="D165" s="260" t="str">
        <f>IFERROR(__xludf.DUMMYFUNCTION("if(B165&lt;=999,if(B165&lt;=99,IF(B165&lt;=9,join(,""000"",B165),join(,""00"",B165)),join(,""0"",B165)),B165)"),"0742")</f>
        <v>0742</v>
      </c>
      <c r="E165" s="263" t="str">
        <f>vlookup(B165,'Geotagging Master All-Training '!$A$2:$C$2474,2,false)</f>
        <v>#N/A</v>
      </c>
      <c r="F165" s="263" t="str">
        <f>vlookup(B165,'Geotagging Master All-Training '!$A$2:$C$2474,3,false)</f>
        <v>#N/A</v>
      </c>
      <c r="G165" s="265" t="s">
        <v>20</v>
      </c>
      <c r="H165" s="258"/>
    </row>
    <row r="166" hidden="1">
      <c r="A166" s="258">
        <v>1064.0</v>
      </c>
      <c r="B166" s="258">
        <v>1064.0</v>
      </c>
      <c r="C166" s="260">
        <v>162.0</v>
      </c>
      <c r="D166" s="260">
        <f>IFERROR(__xludf.DUMMYFUNCTION("if(B166&lt;=999,if(B166&lt;=99,IF(B166&lt;=9,join(,""000"",B166),join(,""00"",B166)),join(,""0"",B166)),B166)"),1064.0)</f>
        <v>1064</v>
      </c>
      <c r="E166" s="263" t="str">
        <f>vlookup(B166,'Geotagging Master All-Training '!$A$2:$C$2474,2,false)</f>
        <v>#N/A</v>
      </c>
      <c r="F166" s="263" t="str">
        <f>vlookup(B166,'Geotagging Master All-Training '!$A$2:$C$2474,3,false)</f>
        <v>#N/A</v>
      </c>
      <c r="G166" s="265" t="s">
        <v>20</v>
      </c>
      <c r="H166" s="258"/>
    </row>
    <row r="167" hidden="1">
      <c r="A167" s="258">
        <v>243.0</v>
      </c>
      <c r="B167" s="258">
        <v>243.0</v>
      </c>
      <c r="C167" s="260">
        <v>163.0</v>
      </c>
      <c r="D167" s="260">
        <v>24.0</v>
      </c>
      <c r="E167" s="263" t="str">
        <f>vlookup(B167,'Geotagging Master All-Training '!$A$2:$C$2474,2,false)</f>
        <v>#N/A</v>
      </c>
      <c r="F167" s="263" t="str">
        <f>vlookup(B167,'Geotagging Master All-Training '!$A$2:$C$2474,3,false)</f>
        <v>#N/A</v>
      </c>
      <c r="G167" s="265" t="s">
        <v>20</v>
      </c>
      <c r="H167" s="258"/>
    </row>
    <row r="168" hidden="1">
      <c r="A168" s="258">
        <v>217.0</v>
      </c>
      <c r="B168" s="258">
        <v>217.0</v>
      </c>
      <c r="C168" s="260">
        <v>164.0</v>
      </c>
      <c r="D168" s="260" t="str">
        <f>IFERROR(__xludf.DUMMYFUNCTION("if(B168&lt;=999,if(B168&lt;=99,IF(B168&lt;=9,join(,""000"",B168),join(,""00"",B168)),join(,""0"",B168)),B168)"),"0217")</f>
        <v>0217</v>
      </c>
      <c r="E168" s="263" t="str">
        <f>vlookup(B168,'Geotagging Master All-Training '!$A$2:$C$2474,2,false)</f>
        <v>#N/A</v>
      </c>
      <c r="F168" s="263" t="str">
        <f>vlookup(B168,'Geotagging Master All-Training '!$A$2:$C$2474,3,false)</f>
        <v>#N/A</v>
      </c>
      <c r="G168" s="265" t="s">
        <v>20</v>
      </c>
      <c r="H168" s="258"/>
    </row>
    <row r="169" hidden="1">
      <c r="A169" s="258">
        <v>44.0</v>
      </c>
      <c r="B169" s="259">
        <v>44.0</v>
      </c>
      <c r="C169" s="260">
        <v>165.0</v>
      </c>
      <c r="D169" s="260" t="str">
        <f>IFERROR(__xludf.DUMMYFUNCTION("if(B169&lt;=999,if(B169&lt;=99,IF(B169&lt;=9,join(,""000"",B169),join(,""00"",B169)),join(,""0"",B169)),B169)"),"0044")</f>
        <v>0044</v>
      </c>
      <c r="E169" s="263" t="str">
        <f>vlookup(B169,'Geotagging Master All-Training '!$A$2:$C$2474,2,false)</f>
        <v>#N/A</v>
      </c>
      <c r="F169" s="263" t="str">
        <f>vlookup(B169,'Geotagging Master All-Training '!$A$2:$C$2474,3,false)</f>
        <v>#N/A</v>
      </c>
      <c r="G169" s="265" t="s">
        <v>20</v>
      </c>
      <c r="H169" s="258"/>
    </row>
    <row r="170" hidden="1">
      <c r="A170" s="258">
        <v>803.0</v>
      </c>
      <c r="B170" s="258">
        <v>803.0</v>
      </c>
      <c r="C170" s="260">
        <v>166.0</v>
      </c>
      <c r="D170" s="260" t="str">
        <f>IFERROR(__xludf.DUMMYFUNCTION("if(B170&lt;=999,if(B170&lt;=99,IF(B170&lt;=9,join(,""000"",B170),join(,""00"",B170)),join(,""0"",B170)),B170)"),"0803")</f>
        <v>0803</v>
      </c>
      <c r="E170" s="263" t="str">
        <f>vlookup(B170,'Geotagging Master All-Training '!$A$2:$C$2474,2,false)</f>
        <v>#N/A</v>
      </c>
      <c r="F170" s="263" t="str">
        <f>vlookup(B170,'Geotagging Master All-Training '!$A$2:$C$2474,3,false)</f>
        <v>#N/A</v>
      </c>
      <c r="G170" s="265" t="s">
        <v>20</v>
      </c>
      <c r="H170" s="258"/>
    </row>
    <row r="171">
      <c r="A171" s="272">
        <v>56.0</v>
      </c>
      <c r="B171" s="272">
        <v>56.0</v>
      </c>
      <c r="C171" s="273"/>
      <c r="D171" s="273"/>
      <c r="E171" s="303"/>
      <c r="F171" s="303"/>
      <c r="G171" s="276"/>
      <c r="H171" s="273"/>
    </row>
    <row r="172" hidden="1">
      <c r="A172" s="272">
        <v>453.0</v>
      </c>
      <c r="B172" s="272">
        <v>453.0</v>
      </c>
      <c r="C172" s="260">
        <v>168.0</v>
      </c>
      <c r="D172" s="273" t="str">
        <f>IFERROR(__xludf.DUMMYFUNCTION("if(B172&lt;=999,if(B172&lt;=99,IF(B172&lt;=9,join(,""000"",B172),join(,""00"",B172)),join(,""0"",B172)),B172)"),"0453")</f>
        <v>0453</v>
      </c>
      <c r="E172" s="263" t="str">
        <f>vlookup(B172,'Geotagging Master All-Training '!$A$2:$C$2474,2,false)</f>
        <v>#N/A</v>
      </c>
      <c r="F172" s="263" t="str">
        <f>vlookup(B172,'Geotagging Master All-Training '!$A$2:$C$2474,3,false)</f>
        <v>#N/A</v>
      </c>
      <c r="G172" s="276" t="s">
        <v>20</v>
      </c>
      <c r="H172" s="272"/>
    </row>
    <row r="173" hidden="1">
      <c r="A173" s="258">
        <v>1060.0</v>
      </c>
      <c r="B173" s="258">
        <v>1060.0</v>
      </c>
      <c r="C173" s="260">
        <v>169.0</v>
      </c>
      <c r="D173" s="260">
        <f>IFERROR(__xludf.DUMMYFUNCTION("if(B173&lt;=999,if(B173&lt;=99,IF(B173&lt;=9,join(,""000"",B173),join(,""00"",B173)),join(,""0"",B173)),B173)"),1060.0)</f>
        <v>1060</v>
      </c>
      <c r="E173" s="263" t="str">
        <f>vlookup(B173,'Geotagging Master All-Training '!$A$2:$C$2474,2,false)</f>
        <v>#N/A</v>
      </c>
      <c r="F173" s="263" t="str">
        <f>vlookup(B173,'Geotagging Master All-Training '!$A$2:$C$2474,3,false)</f>
        <v>#N/A</v>
      </c>
      <c r="G173" s="265" t="s">
        <v>20</v>
      </c>
      <c r="H173" s="258"/>
    </row>
    <row r="174" hidden="1">
      <c r="A174" s="258">
        <v>1092.0</v>
      </c>
      <c r="B174" s="258">
        <v>1092.0</v>
      </c>
      <c r="C174" s="260">
        <v>170.0</v>
      </c>
      <c r="D174" s="260">
        <f>IFERROR(__xludf.DUMMYFUNCTION("if(B174&lt;=999,if(B174&lt;=99,IF(B174&lt;=9,join(,""000"",B174),join(,""00"",B174)),join(,""0"",B174)),B174)"),1092.0)</f>
        <v>1092</v>
      </c>
      <c r="E174" s="263" t="str">
        <f>vlookup(B174,'Geotagging Master All-Training '!$A$2:$C$2474,2,false)</f>
        <v>#N/A</v>
      </c>
      <c r="F174" s="263" t="str">
        <f>vlookup(B174,'Geotagging Master All-Training '!$A$2:$C$2474,3,false)</f>
        <v>#N/A</v>
      </c>
      <c r="G174" s="265" t="s">
        <v>20</v>
      </c>
      <c r="H174" s="258"/>
    </row>
    <row r="175" hidden="1">
      <c r="A175" s="258">
        <v>215.0</v>
      </c>
      <c r="B175" s="258">
        <v>215.0</v>
      </c>
      <c r="C175" s="260">
        <v>171.0</v>
      </c>
      <c r="D175" s="260" t="str">
        <f>IFERROR(__xludf.DUMMYFUNCTION("if(B175&lt;=999,if(B175&lt;=99,IF(B175&lt;=9,join(,""000"",B175),join(,""00"",B175)),join(,""0"",B175)),B175)"),"0215")</f>
        <v>0215</v>
      </c>
      <c r="E175" s="263" t="str">
        <f>vlookup(B175,'Geotagging Master All-Training '!$A$2:$C$2474,2,false)</f>
        <v>#N/A</v>
      </c>
      <c r="F175" s="263" t="str">
        <f>vlookup(B175,'Geotagging Master All-Training '!$A$2:$C$2474,3,false)</f>
        <v>#N/A</v>
      </c>
      <c r="G175" s="265" t="s">
        <v>20</v>
      </c>
      <c r="H175" s="258"/>
    </row>
    <row r="176" hidden="1">
      <c r="A176" s="258">
        <v>691.0</v>
      </c>
      <c r="B176" s="259">
        <v>691.0</v>
      </c>
      <c r="C176" s="260">
        <v>172.0</v>
      </c>
      <c r="D176" s="260" t="str">
        <f>IFERROR(__xludf.DUMMYFUNCTION("if(B176&lt;=999,if(B176&lt;=99,IF(B176&lt;=9,join(,""000"",B176),join(,""00"",B176)),join(,""0"",B176)),B176)"),"0691")</f>
        <v>0691</v>
      </c>
      <c r="E176" s="263" t="str">
        <f>vlookup(B176,'Geotagging Master All-Training '!$A$2:$C$2474,2,false)</f>
        <v>#N/A</v>
      </c>
      <c r="F176" s="263" t="str">
        <f>vlookup(B176,'Geotagging Master All-Training '!$A$2:$C$2474,3,false)</f>
        <v>#N/A</v>
      </c>
      <c r="G176" s="265" t="s">
        <v>20</v>
      </c>
      <c r="H176" s="258"/>
    </row>
    <row r="177" hidden="1">
      <c r="A177" s="258">
        <v>1251.0</v>
      </c>
      <c r="B177" s="258">
        <v>1251.0</v>
      </c>
      <c r="C177" s="260">
        <v>173.0</v>
      </c>
      <c r="D177" s="260">
        <f>IFERROR(__xludf.DUMMYFUNCTION("if(B177&lt;=999,if(B177&lt;=99,IF(B177&lt;=9,join(,""000"",B177),join(,""00"",B177)),join(,""0"",B177)),B177)"),1251.0)</f>
        <v>1251</v>
      </c>
      <c r="E177" s="263" t="str">
        <f>vlookup(B177,'Geotagging Master All-Training '!$A$2:$C$2474,2,false)</f>
        <v>#N/A</v>
      </c>
      <c r="F177" s="263" t="str">
        <f>vlookup(B177,'Geotagging Master All-Training '!$A$2:$C$2474,3,false)</f>
        <v>#N/A</v>
      </c>
      <c r="G177" s="265" t="s">
        <v>20</v>
      </c>
      <c r="H177" s="258"/>
    </row>
    <row r="178">
      <c r="A178" s="272">
        <v>1054.0</v>
      </c>
      <c r="B178" s="272">
        <v>1054.0</v>
      </c>
      <c r="C178" s="273"/>
      <c r="D178" s="273"/>
      <c r="E178" s="303"/>
      <c r="F178" s="303"/>
      <c r="G178" s="276"/>
      <c r="H178" s="273"/>
    </row>
    <row r="179" hidden="1">
      <c r="A179" s="258">
        <v>910.0</v>
      </c>
      <c r="B179" s="258">
        <v>910.0</v>
      </c>
      <c r="C179" s="260">
        <v>175.0</v>
      </c>
      <c r="D179" s="260" t="str">
        <f>IFERROR(__xludf.DUMMYFUNCTION("if(B179&lt;=999,if(B179&lt;=99,IF(B179&lt;=9,join(,""000"",B179),join(,""00"",B179)),join(,""0"",B179)),B179)"),"0910")</f>
        <v>0910</v>
      </c>
      <c r="E179" s="263" t="str">
        <f>vlookup(B179,'Geotagging Master All-Training '!$A$2:$C$2474,2,false)</f>
        <v>#N/A</v>
      </c>
      <c r="F179" s="263" t="str">
        <f>vlookup(B179,'Geotagging Master All-Training '!$A$2:$C$2474,3,false)</f>
        <v>#N/A</v>
      </c>
      <c r="G179" s="265" t="s">
        <v>20</v>
      </c>
      <c r="H179" s="258"/>
    </row>
    <row r="180" hidden="1">
      <c r="A180" s="258">
        <v>346.0</v>
      </c>
      <c r="B180" s="259">
        <v>346.0</v>
      </c>
      <c r="C180" s="260">
        <v>176.0</v>
      </c>
      <c r="D180" s="260" t="str">
        <f>IFERROR(__xludf.DUMMYFUNCTION("if(B180&lt;=999,if(B180&lt;=99,IF(B180&lt;=9,join(,""000"",B180),join(,""00"",B180)),join(,""0"",B180)),B180)"),"0346")</f>
        <v>0346</v>
      </c>
      <c r="E180" s="263" t="str">
        <f>vlookup(B180,'Geotagging Master All-Training '!$A$2:$C$2474,2,false)</f>
        <v>#N/A</v>
      </c>
      <c r="F180" s="263" t="str">
        <f>vlookup(B180,'Geotagging Master All-Training '!$A$2:$C$2474,3,false)</f>
        <v>#N/A</v>
      </c>
      <c r="G180" s="265" t="s">
        <v>20</v>
      </c>
      <c r="H180" s="258"/>
    </row>
    <row r="181" hidden="1">
      <c r="A181" s="258">
        <v>537.0</v>
      </c>
      <c r="B181" s="258">
        <v>537.0</v>
      </c>
      <c r="C181" s="260">
        <v>177.0</v>
      </c>
      <c r="D181" s="260" t="str">
        <f>IFERROR(__xludf.DUMMYFUNCTION("if(B181&lt;=999,if(B181&lt;=99,IF(B181&lt;=9,join(,""000"",B181),join(,""00"",B181)),join(,""0"",B181)),B181)"),"0537")</f>
        <v>0537</v>
      </c>
      <c r="E181" s="263" t="str">
        <f>vlookup(B181,'Geotagging Master All-Training '!$A$2:$C$2474,2,false)</f>
        <v>#N/A</v>
      </c>
      <c r="F181" s="263" t="str">
        <f>vlookup(B181,'Geotagging Master All-Training '!$A$2:$C$2474,3,false)</f>
        <v>#N/A</v>
      </c>
      <c r="G181" s="265" t="s">
        <v>20</v>
      </c>
      <c r="H181" s="258"/>
    </row>
    <row r="182" hidden="1">
      <c r="A182" s="258">
        <v>1274.0</v>
      </c>
      <c r="B182" s="258">
        <v>1274.0</v>
      </c>
      <c r="C182" s="260">
        <v>178.0</v>
      </c>
      <c r="D182" s="260">
        <f>IFERROR(__xludf.DUMMYFUNCTION("if(B182&lt;=999,if(B182&lt;=99,IF(B182&lt;=9,join(,""000"",B182),join(,""00"",B182)),join(,""0"",B182)),B182)"),1274.0)</f>
        <v>1274</v>
      </c>
      <c r="E182" s="263" t="str">
        <f>vlookup(B182,'Geotagging Master All-Training '!$A$2:$C$2474,2,false)</f>
        <v>#N/A</v>
      </c>
      <c r="F182" s="263" t="str">
        <f>vlookup(B182,'Geotagging Master All-Training '!$A$2:$C$2474,3,false)</f>
        <v>#N/A</v>
      </c>
      <c r="G182" s="265" t="s">
        <v>20</v>
      </c>
      <c r="H182" s="258"/>
    </row>
    <row r="183" hidden="1">
      <c r="A183" s="258">
        <v>1268.0</v>
      </c>
      <c r="B183" s="259">
        <v>1268.0</v>
      </c>
      <c r="C183" s="260">
        <v>179.0</v>
      </c>
      <c r="D183" s="260">
        <f>IFERROR(__xludf.DUMMYFUNCTION("if(B183&lt;=999,if(B183&lt;=99,IF(B183&lt;=9,join(,""000"",B183),join(,""00"",B183)),join(,""0"",B183)),B183)"),1268.0)</f>
        <v>1268</v>
      </c>
      <c r="E183" s="263" t="str">
        <f>vlookup(B183,'Geotagging Master All-Training '!$A$2:$C$2474,2,false)</f>
        <v>#N/A</v>
      </c>
      <c r="F183" s="263" t="str">
        <f>vlookup(B183,'Geotagging Master All-Training '!$A$2:$C$2474,3,false)</f>
        <v>#N/A</v>
      </c>
      <c r="G183" s="265" t="s">
        <v>20</v>
      </c>
      <c r="H183" s="258"/>
    </row>
    <row r="184" hidden="1">
      <c r="A184" s="258">
        <v>808.0</v>
      </c>
      <c r="B184" s="258">
        <v>808.0</v>
      </c>
      <c r="C184" s="260">
        <v>180.0</v>
      </c>
      <c r="D184" s="260" t="str">
        <f>IFERROR(__xludf.DUMMYFUNCTION("if(B184&lt;=999,if(B184&lt;=99,IF(B184&lt;=9,join(,""000"",B184),join(,""00"",B184)),join(,""0"",B184)),B184)"),"0808")</f>
        <v>0808</v>
      </c>
      <c r="E184" s="263" t="str">
        <f>vlookup(B184,'Geotagging Master All-Training '!$A$2:$C$2474,2,false)</f>
        <v>#N/A</v>
      </c>
      <c r="F184" s="263" t="str">
        <f>vlookup(B184,'Geotagging Master All-Training '!$A$2:$C$2474,3,false)</f>
        <v>#N/A</v>
      </c>
      <c r="G184" s="265" t="s">
        <v>20</v>
      </c>
      <c r="H184" s="258"/>
    </row>
    <row r="185">
      <c r="A185" s="272">
        <v>1215.0</v>
      </c>
      <c r="B185" s="272">
        <v>1215.0</v>
      </c>
      <c r="C185" s="273"/>
      <c r="D185" s="273"/>
      <c r="E185" s="303"/>
      <c r="F185" s="303"/>
      <c r="G185" s="276"/>
      <c r="H185" s="273"/>
    </row>
    <row r="186" hidden="1">
      <c r="A186" s="258">
        <v>35.0</v>
      </c>
      <c r="B186" s="258">
        <v>35.0</v>
      </c>
      <c r="C186" s="260">
        <v>184.0</v>
      </c>
      <c r="D186" s="260" t="str">
        <f>IFERROR(__xludf.DUMMYFUNCTION("if(B186&lt;=999,if(B186&lt;=99,IF(B186&lt;=9,join(,""000"",B186),join(,""00"",B186)),join(,""0"",B186)),B186)"),"0035")</f>
        <v>0035</v>
      </c>
      <c r="E186" s="263" t="str">
        <f>vlookup(B186,'Geotagging Master All-Training '!$A$2:$C$2474,2,false)</f>
        <v>#N/A</v>
      </c>
      <c r="F186" s="263" t="str">
        <f>vlookup(B186,'Geotagging Master All-Training '!$A$2:$C$2474,3,false)</f>
        <v>#N/A</v>
      </c>
      <c r="G186" s="265" t="s">
        <v>20</v>
      </c>
      <c r="H186" s="258"/>
    </row>
    <row r="187" hidden="1">
      <c r="A187" s="258">
        <v>1409.0</v>
      </c>
      <c r="B187" s="258">
        <v>1409.0</v>
      </c>
      <c r="C187" s="260">
        <v>185.0</v>
      </c>
      <c r="D187" s="260">
        <f>IFERROR(__xludf.DUMMYFUNCTION("if(B187&lt;=999,if(B187&lt;=99,IF(B187&lt;=9,join(,""000"",B187),join(,""00"",B187)),join(,""0"",B187)),B187)"),1409.0)</f>
        <v>1409</v>
      </c>
      <c r="E187" s="263" t="str">
        <f>vlookup(B187,'Geotagging Master All-Training '!$A$2:$C$2474,2,false)</f>
        <v>#N/A</v>
      </c>
      <c r="F187" s="263" t="str">
        <f>vlookup(B187,'Geotagging Master All-Training '!$A$2:$C$2474,3,false)</f>
        <v>#N/A</v>
      </c>
      <c r="G187" s="265" t="s">
        <v>20</v>
      </c>
      <c r="H187" s="258"/>
    </row>
    <row r="188" hidden="1">
      <c r="A188" s="258">
        <v>1275.0</v>
      </c>
      <c r="B188" s="259">
        <v>1275.0</v>
      </c>
      <c r="C188" s="260">
        <v>186.0</v>
      </c>
      <c r="D188" s="260">
        <f>IFERROR(__xludf.DUMMYFUNCTION("if(B188&lt;=999,if(B188&lt;=99,IF(B188&lt;=9,join(,""000"",B188),join(,""00"",B188)),join(,""0"",B188)),B188)"),1275.0)</f>
        <v>1275</v>
      </c>
      <c r="E188" s="263" t="str">
        <f>vlookup(B188,'Geotagging Master All-Training '!$A$2:$C$2474,2,false)</f>
        <v>#N/A</v>
      </c>
      <c r="F188" s="263" t="str">
        <f>vlookup(B188,'Geotagging Master All-Training '!$A$2:$C$2474,3,false)</f>
        <v>#N/A</v>
      </c>
      <c r="G188" s="265" t="s">
        <v>20</v>
      </c>
      <c r="H188" s="258"/>
    </row>
    <row r="189" hidden="1">
      <c r="A189" s="258">
        <v>1289.0</v>
      </c>
      <c r="B189" s="259">
        <v>1289.0</v>
      </c>
      <c r="C189" s="260">
        <v>187.0</v>
      </c>
      <c r="D189" s="260">
        <f>IFERROR(__xludf.DUMMYFUNCTION("if(B189&lt;=999,if(B189&lt;=99,IF(B189&lt;=9,join(,""000"",B189),join(,""00"",B189)),join(,""0"",B189)),B189)"),1289.0)</f>
        <v>1289</v>
      </c>
      <c r="E189" s="263" t="str">
        <f>vlookup(B189,'Geotagging Master All-Training '!$A$2:$C$2474,2,false)</f>
        <v>#N/A</v>
      </c>
      <c r="F189" s="263" t="str">
        <f>vlookup(B189,'Geotagging Master All-Training '!$A$2:$C$2474,3,false)</f>
        <v>#N/A</v>
      </c>
      <c r="G189" s="265" t="s">
        <v>20</v>
      </c>
      <c r="H189" s="258"/>
    </row>
    <row r="190" hidden="1">
      <c r="A190" s="258">
        <v>1238.0</v>
      </c>
      <c r="B190" s="258">
        <v>1238.0</v>
      </c>
      <c r="C190" s="260">
        <v>188.0</v>
      </c>
      <c r="D190" s="260">
        <f>IFERROR(__xludf.DUMMYFUNCTION("if(B190&lt;=999,if(B190&lt;=99,IF(B190&lt;=9,join(,""000"",B190),join(,""00"",B190)),join(,""0"",B190)),B190)"),1238.0)</f>
        <v>1238</v>
      </c>
      <c r="E190" s="263" t="str">
        <f>vlookup(B190,'Geotagging Master All-Training '!$A$2:$C$2474,2,false)</f>
        <v>#N/A</v>
      </c>
      <c r="F190" s="263" t="str">
        <f>vlookup(B190,'Geotagging Master All-Training '!$A$2:$C$2474,3,false)</f>
        <v>#N/A</v>
      </c>
      <c r="G190" s="265" t="s">
        <v>20</v>
      </c>
      <c r="H190" s="258"/>
    </row>
    <row r="191" hidden="1">
      <c r="A191" s="272">
        <v>1041.0</v>
      </c>
      <c r="B191" s="272">
        <v>1041.0</v>
      </c>
      <c r="C191" s="260">
        <v>189.0</v>
      </c>
      <c r="D191" s="314">
        <f>IFERROR(__xludf.DUMMYFUNCTION("if(B191&lt;=999,if(B191&lt;=99,IF(B191&lt;=9,join(,""000"",B191),join(,""00"",B191)),join(,""0"",B191)),B191)"),1041.0)</f>
        <v>1041</v>
      </c>
      <c r="E191" s="263" t="str">
        <f>vlookup(B191,'Geotagging Master All-Training '!$A$2:$C$2474,2,false)</f>
        <v>#N/A</v>
      </c>
      <c r="F191" s="263" t="str">
        <f>vlookup(B191,'Geotagging Master All-Training '!$A$2:$C$2474,3,false)</f>
        <v>#N/A</v>
      </c>
      <c r="G191" s="276" t="s">
        <v>20</v>
      </c>
      <c r="H191" s="272"/>
    </row>
    <row r="192" hidden="1">
      <c r="A192" s="258">
        <v>1442.0</v>
      </c>
      <c r="B192" s="259">
        <v>1442.0</v>
      </c>
      <c r="C192" s="260">
        <v>190.0</v>
      </c>
      <c r="D192" s="260">
        <f>IFERROR(__xludf.DUMMYFUNCTION("if(B192&lt;=999,if(B192&lt;=99,IF(B192&lt;=9,join(,""000"",B192),join(,""00"",B192)),join(,""0"",B192)),B192)"),1442.0)</f>
        <v>1442</v>
      </c>
      <c r="E192" s="263" t="str">
        <f>vlookup(B192,'Geotagging Master All-Training '!$A$2:$C$2474,2,false)</f>
        <v>#N/A</v>
      </c>
      <c r="F192" s="263" t="str">
        <f>vlookup(B192,'Geotagging Master All-Training '!$A$2:$C$2474,3,false)</f>
        <v>#N/A</v>
      </c>
      <c r="G192" s="265" t="s">
        <v>20</v>
      </c>
      <c r="H192" s="258"/>
    </row>
    <row r="193" hidden="1">
      <c r="A193" s="258">
        <v>1342.0</v>
      </c>
      <c r="B193" s="258">
        <v>1342.0</v>
      </c>
      <c r="C193" s="260">
        <v>191.0</v>
      </c>
      <c r="D193" s="260">
        <f>IFERROR(__xludf.DUMMYFUNCTION("if(B193&lt;=999,if(B193&lt;=99,IF(B193&lt;=9,join(,""000"",B193),join(,""00"",B193)),join(,""0"",B193)),B193)"),1342.0)</f>
        <v>1342</v>
      </c>
      <c r="E193" s="263" t="str">
        <f>vlookup(B193,'Geotagging Master All-Training '!$A$2:$C$2474,2,false)</f>
        <v>#N/A</v>
      </c>
      <c r="F193" s="263" t="str">
        <f>vlookup(B193,'Geotagging Master All-Training '!$A$2:$C$2474,3,false)</f>
        <v>#N/A</v>
      </c>
      <c r="G193" s="265" t="s">
        <v>20</v>
      </c>
      <c r="H193" s="258"/>
    </row>
    <row r="194" hidden="1">
      <c r="A194" s="258">
        <v>1102.0</v>
      </c>
      <c r="B194" s="258">
        <v>1102.0</v>
      </c>
      <c r="C194" s="260">
        <v>192.0</v>
      </c>
      <c r="D194" s="260">
        <f>IFERROR(__xludf.DUMMYFUNCTION("if(B194&lt;=999,if(B194&lt;=99,IF(B194&lt;=9,join(,""000"",B194),join(,""00"",B194)),join(,""0"",B194)),B194)"),1102.0)</f>
        <v>1102</v>
      </c>
      <c r="E194" s="263" t="str">
        <f>vlookup(B194,'Geotagging Master All-Training '!$A$2:$C$2474,2,false)</f>
        <v>#N/A</v>
      </c>
      <c r="F194" s="263" t="str">
        <f>vlookup(B194,'Geotagging Master All-Training '!$A$2:$C$2474,3,false)</f>
        <v>#N/A</v>
      </c>
      <c r="G194" s="265" t="s">
        <v>20</v>
      </c>
      <c r="H194" s="258"/>
    </row>
    <row r="195" hidden="1">
      <c r="A195" s="258">
        <v>1199.0</v>
      </c>
      <c r="B195" s="258">
        <v>1199.0</v>
      </c>
      <c r="C195" s="260">
        <v>193.0</v>
      </c>
      <c r="D195" s="260">
        <f>IFERROR(__xludf.DUMMYFUNCTION("if(B195&lt;=999,if(B195&lt;=99,IF(B195&lt;=9,join(,""000"",B195),join(,""00"",B195)),join(,""0"",B195)),B195)"),1199.0)</f>
        <v>1199</v>
      </c>
      <c r="E195" s="263" t="str">
        <f>vlookup(B195,'Geotagging Master All-Training '!$A$2:$C$2474,2,false)</f>
        <v>#N/A</v>
      </c>
      <c r="F195" s="263" t="str">
        <f>vlookup(B195,'Geotagging Master All-Training '!$A$2:$C$2474,3,false)</f>
        <v>#N/A</v>
      </c>
      <c r="G195" s="265" t="s">
        <v>20</v>
      </c>
      <c r="H195" s="258"/>
    </row>
    <row r="196" hidden="1">
      <c r="A196" s="258">
        <v>1378.0</v>
      </c>
      <c r="B196" s="258">
        <v>1378.0</v>
      </c>
      <c r="C196" s="260">
        <v>194.0</v>
      </c>
      <c r="D196" s="260">
        <f>IFERROR(__xludf.DUMMYFUNCTION("if(B196&lt;=999,if(B196&lt;=99,IF(B196&lt;=9,join(,""000"",B196),join(,""00"",B196)),join(,""0"",B196)),B196)"),1378.0)</f>
        <v>1378</v>
      </c>
      <c r="E196" s="263" t="str">
        <f>vlookup(B196,'Geotagging Master All-Training '!$A$2:$C$2474,2,false)</f>
        <v>#N/A</v>
      </c>
      <c r="F196" s="263" t="str">
        <f>vlookup(B196,'Geotagging Master All-Training '!$A$2:$C$2474,3,false)</f>
        <v>#N/A</v>
      </c>
      <c r="G196" s="265" t="s">
        <v>20</v>
      </c>
      <c r="H196" s="258"/>
    </row>
    <row r="197" hidden="1">
      <c r="A197" s="258">
        <v>1283.0</v>
      </c>
      <c r="B197" s="258">
        <v>1283.0</v>
      </c>
      <c r="C197" s="260">
        <v>195.0</v>
      </c>
      <c r="D197" s="260">
        <f>IFERROR(__xludf.DUMMYFUNCTION("if(B197&lt;=999,if(B197&lt;=99,IF(B197&lt;=9,join(,""000"",B197),join(,""00"",B197)),join(,""0"",B197)),B197)"),1283.0)</f>
        <v>1283</v>
      </c>
      <c r="E197" s="263" t="str">
        <f>vlookup(B197,'Geotagging Master All-Training '!$A$2:$C$2474,2,false)</f>
        <v>#N/A</v>
      </c>
      <c r="F197" s="263" t="str">
        <f>vlookup(B197,'Geotagging Master All-Training '!$A$2:$C$2474,3,false)</f>
        <v>#N/A</v>
      </c>
      <c r="G197" s="265" t="s">
        <v>20</v>
      </c>
      <c r="H197" s="258"/>
    </row>
    <row r="198" hidden="1">
      <c r="A198" s="258">
        <v>602.0</v>
      </c>
      <c r="B198" s="258">
        <v>602.0</v>
      </c>
      <c r="C198" s="260">
        <v>196.0</v>
      </c>
      <c r="D198" s="260" t="str">
        <f>IFERROR(__xludf.DUMMYFUNCTION("if(B198&lt;=999,if(B198&lt;=99,IF(B198&lt;=9,join(,""000"",B198),join(,""00"",B198)),join(,""0"",B198)),B198)"),"0602")</f>
        <v>0602</v>
      </c>
      <c r="E198" s="263" t="str">
        <f>vlookup(B198,'Geotagging Master All-Training '!$A$2:$C$2474,2,false)</f>
        <v>#N/A</v>
      </c>
      <c r="F198" s="263" t="str">
        <f>vlookup(B198,'Geotagging Master All-Training '!$A$2:$C$2474,3,false)</f>
        <v>#N/A</v>
      </c>
      <c r="G198" s="265" t="s">
        <v>20</v>
      </c>
      <c r="H198" s="258"/>
    </row>
    <row r="199" hidden="1">
      <c r="A199" s="258">
        <v>1292.0</v>
      </c>
      <c r="B199" s="258">
        <v>1292.0</v>
      </c>
      <c r="C199" s="260">
        <v>197.0</v>
      </c>
      <c r="D199" s="260">
        <f>IFERROR(__xludf.DUMMYFUNCTION("if(B199&lt;=999,if(B199&lt;=99,IF(B199&lt;=9,join(,""000"",B199),join(,""00"",B199)),join(,""0"",B199)),B199)"),1292.0)</f>
        <v>1292</v>
      </c>
      <c r="E199" s="263" t="str">
        <f>vlookup(B199,'Geotagging Master All-Training '!$A$2:$C$2474,2,false)</f>
        <v>#N/A</v>
      </c>
      <c r="F199" s="263" t="str">
        <f>vlookup(B199,'Geotagging Master All-Training '!$A$2:$C$2474,3,false)</f>
        <v>#N/A</v>
      </c>
      <c r="G199" s="265" t="s">
        <v>20</v>
      </c>
      <c r="H199" s="258"/>
    </row>
    <row r="200" hidden="1">
      <c r="A200" s="258">
        <v>83.0</v>
      </c>
      <c r="B200" s="258">
        <v>83.0</v>
      </c>
      <c r="C200" s="260">
        <v>198.0</v>
      </c>
      <c r="D200" s="260" t="str">
        <f>IFERROR(__xludf.DUMMYFUNCTION("if(B200&lt;=999,if(B200&lt;=99,IF(B200&lt;=9,join(,""000"",B200),join(,""00"",B200)),join(,""0"",B200)),B200)"),"0083")</f>
        <v>0083</v>
      </c>
      <c r="E200" s="263" t="str">
        <f>vlookup(B200,'Geotagging Master All-Training '!$A$2:$C$2474,2,false)</f>
        <v>#N/A</v>
      </c>
      <c r="F200" s="263" t="str">
        <f>vlookup(B200,'Geotagging Master All-Training '!$A$2:$C$2474,3,false)</f>
        <v>#N/A</v>
      </c>
      <c r="G200" s="265" t="s">
        <v>20</v>
      </c>
      <c r="H200" s="258"/>
    </row>
    <row r="201" hidden="1">
      <c r="A201" s="258">
        <v>810.0</v>
      </c>
      <c r="B201" s="259">
        <v>810.0</v>
      </c>
      <c r="C201" s="260">
        <v>199.0</v>
      </c>
      <c r="D201" s="260" t="str">
        <f>IFERROR(__xludf.DUMMYFUNCTION("if(B201&lt;=999,if(B201&lt;=99,IF(B201&lt;=9,join(,""000"",B201),join(,""00"",B201)),join(,""0"",B201)),B201)"),"0810")</f>
        <v>0810</v>
      </c>
      <c r="E201" s="263" t="str">
        <f>vlookup(B201,'Geotagging Master All-Training '!$A$2:$C$2474,2,false)</f>
        <v>#N/A</v>
      </c>
      <c r="F201" s="263" t="str">
        <f>vlookup(B201,'Geotagging Master All-Training '!$A$2:$C$2474,3,false)</f>
        <v>#N/A</v>
      </c>
      <c r="G201" s="265" t="s">
        <v>20</v>
      </c>
      <c r="H201" s="258"/>
    </row>
    <row r="202" hidden="1">
      <c r="A202" s="258">
        <v>1212.0</v>
      </c>
      <c r="B202" s="258">
        <v>1212.0</v>
      </c>
      <c r="C202" s="260">
        <v>200.0</v>
      </c>
      <c r="D202" s="260">
        <f>IFERROR(__xludf.DUMMYFUNCTION("if(B202&lt;=999,if(B202&lt;=99,IF(B202&lt;=9,join(,""000"",B202),join(,""00"",B202)),join(,""0"",B202)),B202)"),1212.0)</f>
        <v>1212</v>
      </c>
      <c r="E202" s="263" t="str">
        <f>vlookup(B202,'Geotagging Master All-Training '!$A$2:$C$2474,2,false)</f>
        <v>#N/A</v>
      </c>
      <c r="F202" s="263" t="str">
        <f>vlookup(B202,'Geotagging Master All-Training '!$A$2:$C$2474,3,false)</f>
        <v>#N/A</v>
      </c>
      <c r="G202" s="265" t="s">
        <v>20</v>
      </c>
      <c r="H202" s="258"/>
    </row>
    <row r="203" hidden="1">
      <c r="A203" s="258">
        <v>1372.0</v>
      </c>
      <c r="B203" s="258">
        <v>1372.0</v>
      </c>
      <c r="C203" s="260">
        <v>201.0</v>
      </c>
      <c r="D203" s="260">
        <f>IFERROR(__xludf.DUMMYFUNCTION("if(B203&lt;=999,if(B203&lt;=99,IF(B203&lt;=9,join(,""000"",B203),join(,""00"",B203)),join(,""0"",B203)),B203)"),1372.0)</f>
        <v>1372</v>
      </c>
      <c r="E203" s="263" t="str">
        <f>vlookup(B203,'Geotagging Master All-Training '!$A$2:$C$2474,2,false)</f>
        <v>#N/A</v>
      </c>
      <c r="F203" s="263" t="str">
        <f>vlookup(B203,'Geotagging Master All-Training '!$A$2:$C$2474,3,false)</f>
        <v>#N/A</v>
      </c>
      <c r="G203" s="265" t="s">
        <v>20</v>
      </c>
      <c r="H203" s="258"/>
    </row>
    <row r="204" hidden="1">
      <c r="A204" s="258">
        <v>1412.0</v>
      </c>
      <c r="B204" s="258">
        <v>1412.0</v>
      </c>
      <c r="C204" s="260">
        <v>202.0</v>
      </c>
      <c r="D204" s="260">
        <f>IFERROR(__xludf.DUMMYFUNCTION("if(B204&lt;=999,if(B204&lt;=99,IF(B204&lt;=9,join(,""000"",B204),join(,""00"",B204)),join(,""0"",B204)),B204)"),1412.0)</f>
        <v>1412</v>
      </c>
      <c r="E204" s="263" t="str">
        <f>vlookup(B204,'Geotagging Master All-Training '!$A$2:$C$2474,2,false)</f>
        <v>#N/A</v>
      </c>
      <c r="F204" s="263" t="str">
        <f>vlookup(B204,'Geotagging Master All-Training '!$A$2:$C$2474,3,false)</f>
        <v>#N/A</v>
      </c>
      <c r="G204" s="265" t="s">
        <v>20</v>
      </c>
      <c r="H204" s="258"/>
    </row>
    <row r="205" hidden="1">
      <c r="A205" s="258">
        <v>521.0</v>
      </c>
      <c r="B205" s="258">
        <v>521.0</v>
      </c>
      <c r="C205" s="260">
        <v>203.0</v>
      </c>
      <c r="D205" s="260" t="str">
        <f>IFERROR(__xludf.DUMMYFUNCTION("if(B205&lt;=999,if(B205&lt;=99,IF(B205&lt;=9,join(,""000"",B205),join(,""00"",B205)),join(,""0"",B205)),B205)"),"0521")</f>
        <v>0521</v>
      </c>
      <c r="E205" s="263" t="str">
        <f>vlookup(B205,'Geotagging Master All-Training '!$A$2:$C$2474,2,false)</f>
        <v>#N/A</v>
      </c>
      <c r="F205" s="263" t="str">
        <f>vlookup(B205,'Geotagging Master All-Training '!$A$2:$C$2474,3,false)</f>
        <v>#N/A</v>
      </c>
      <c r="G205" s="265" t="s">
        <v>20</v>
      </c>
      <c r="H205" s="258"/>
    </row>
    <row r="206" hidden="1">
      <c r="A206" s="258">
        <v>1112.0</v>
      </c>
      <c r="B206" s="258">
        <v>1112.0</v>
      </c>
      <c r="C206" s="260">
        <v>204.0</v>
      </c>
      <c r="D206" s="260">
        <f>IFERROR(__xludf.DUMMYFUNCTION("if(B206&lt;=999,if(B206&lt;=99,IF(B206&lt;=9,join(,""000"",B206),join(,""00"",B206)),join(,""0"",B206)),B206)"),1112.0)</f>
        <v>1112</v>
      </c>
      <c r="E206" s="263" t="str">
        <f>vlookup(B206,'Geotagging Master All-Training '!$A$2:$C$2474,2,false)</f>
        <v>#N/A</v>
      </c>
      <c r="F206" s="263" t="str">
        <f>vlookup(B206,'Geotagging Master All-Training '!$A$2:$C$2474,3,false)</f>
        <v>#N/A</v>
      </c>
      <c r="G206" s="265" t="s">
        <v>20</v>
      </c>
      <c r="H206" s="258"/>
    </row>
    <row r="207" hidden="1">
      <c r="A207" s="258">
        <v>1206.0</v>
      </c>
      <c r="B207" s="258">
        <v>1206.0</v>
      </c>
      <c r="C207" s="260">
        <v>205.0</v>
      </c>
      <c r="D207" s="260">
        <f>IFERROR(__xludf.DUMMYFUNCTION("if(B207&lt;=999,if(B207&lt;=99,IF(B207&lt;=9,join(,""000"",B207),join(,""00"",B207)),join(,""0"",B207)),B207)"),1206.0)</f>
        <v>1206</v>
      </c>
      <c r="E207" s="263" t="str">
        <f>vlookup(B207,'Geotagging Master All-Training '!$A$2:$C$2474,2,false)</f>
        <v>#N/A</v>
      </c>
      <c r="F207" s="263" t="str">
        <f>vlookup(B207,'Geotagging Master All-Training '!$A$2:$C$2474,3,false)</f>
        <v>#N/A</v>
      </c>
      <c r="G207" s="265" t="s">
        <v>20</v>
      </c>
      <c r="H207" s="258"/>
    </row>
    <row r="208" hidden="1">
      <c r="A208" s="258">
        <v>1397.0</v>
      </c>
      <c r="B208" s="259">
        <v>1397.0</v>
      </c>
      <c r="C208" s="260">
        <v>206.0</v>
      </c>
      <c r="D208" s="260">
        <f>IFERROR(__xludf.DUMMYFUNCTION("if(B208&lt;=999,if(B208&lt;=99,IF(B208&lt;=9,join(,""000"",B208),join(,""00"",B208)),join(,""0"",B208)),B208)"),1397.0)</f>
        <v>1397</v>
      </c>
      <c r="E208" s="263" t="str">
        <f>vlookup(B208,'Geotagging Master All-Training '!$A$2:$C$2474,2,false)</f>
        <v>#N/A</v>
      </c>
      <c r="F208" s="263" t="str">
        <f>vlookup(B208,'Geotagging Master All-Training '!$A$2:$C$2474,3,false)</f>
        <v>#N/A</v>
      </c>
      <c r="G208" s="265" t="s">
        <v>20</v>
      </c>
      <c r="H208" s="258"/>
    </row>
    <row r="209" hidden="1">
      <c r="A209" s="258">
        <v>806.0</v>
      </c>
      <c r="B209" s="259">
        <v>806.0</v>
      </c>
      <c r="C209" s="260">
        <v>207.0</v>
      </c>
      <c r="D209" s="260" t="str">
        <f>IFERROR(__xludf.DUMMYFUNCTION("if(B209&lt;=999,if(B209&lt;=99,IF(B209&lt;=9,join(,""000"",B209),join(,""00"",B209)),join(,""0"",B209)),B209)"),"0806")</f>
        <v>0806</v>
      </c>
      <c r="E209" s="263" t="str">
        <f>vlookup(B209,'Geotagging Master All-Training '!$A$2:$C$2474,2,false)</f>
        <v>#N/A</v>
      </c>
      <c r="F209" s="263" t="str">
        <f>vlookup(B209,'Geotagging Master All-Training '!$A$2:$C$2474,3,false)</f>
        <v>#N/A</v>
      </c>
      <c r="G209" s="265" t="s">
        <v>20</v>
      </c>
      <c r="H209" s="258"/>
    </row>
    <row r="210" hidden="1">
      <c r="A210" s="258">
        <v>1037.0</v>
      </c>
      <c r="B210" s="258">
        <v>1037.0</v>
      </c>
      <c r="C210" s="260">
        <v>208.0</v>
      </c>
      <c r="D210" s="260">
        <f>IFERROR(__xludf.DUMMYFUNCTION("if(B210&lt;=999,if(B210&lt;=99,IF(B210&lt;=9,join(,""000"",B210),join(,""00"",B210)),join(,""0"",B210)),B210)"),1037.0)</f>
        <v>1037</v>
      </c>
      <c r="E210" s="263" t="str">
        <f>vlookup(B210,'Geotagging Master All-Training '!$A$2:$C$2474,2,false)</f>
        <v>#N/A</v>
      </c>
      <c r="F210" s="263" t="str">
        <f>vlookup(B210,'Geotagging Master All-Training '!$A$2:$C$2474,3,false)</f>
        <v>#N/A</v>
      </c>
      <c r="G210" s="265" t="s">
        <v>20</v>
      </c>
      <c r="H210" s="258"/>
    </row>
    <row r="211" hidden="1">
      <c r="A211" s="272">
        <v>532.0</v>
      </c>
      <c r="B211" s="272">
        <v>532.0</v>
      </c>
      <c r="C211" s="260">
        <v>209.0</v>
      </c>
      <c r="D211" s="273" t="str">
        <f>IFERROR(__xludf.DUMMYFUNCTION("if(B211&lt;=999,if(B211&lt;=99,IF(B211&lt;=9,join(,""000"",B211),join(,""00"",B211)),join(,""0"",B211)),B211)"),"0532")</f>
        <v>0532</v>
      </c>
      <c r="E211" s="263" t="str">
        <f>vlookup(B211,'Geotagging Master All-Training '!$A$2:$C$2474,2,false)</f>
        <v>#N/A</v>
      </c>
      <c r="F211" s="263" t="str">
        <f>vlookup(B211,'Geotagging Master All-Training '!$A$2:$C$2474,3,false)</f>
        <v>#N/A</v>
      </c>
      <c r="G211" s="276" t="s">
        <v>20</v>
      </c>
      <c r="H211" s="272"/>
    </row>
    <row r="212" hidden="1">
      <c r="A212" s="258">
        <v>32.0</v>
      </c>
      <c r="B212" s="258">
        <v>32.0</v>
      </c>
      <c r="C212" s="260">
        <v>210.0</v>
      </c>
      <c r="D212" s="260" t="str">
        <f>IFERROR(__xludf.DUMMYFUNCTION("if(B212&lt;=999,if(B212&lt;=99,IF(B212&lt;=9,join(,""000"",B212),join(,""00"",B212)),join(,""0"",B212)),B212)"),"0032")</f>
        <v>0032</v>
      </c>
      <c r="E212" s="263" t="str">
        <f>vlookup(B212,'Geotagging Master All-Training '!$A$2:$C$2474,2,false)</f>
        <v>#N/A</v>
      </c>
      <c r="F212" s="263" t="str">
        <f>vlookup(B212,'Geotagging Master All-Training '!$A$2:$C$2474,3,false)</f>
        <v>#N/A</v>
      </c>
      <c r="G212" s="265" t="s">
        <v>20</v>
      </c>
      <c r="H212" s="258"/>
    </row>
    <row r="213" hidden="1">
      <c r="A213" s="258">
        <v>177.0</v>
      </c>
      <c r="B213" s="258">
        <v>177.0</v>
      </c>
      <c r="C213" s="260">
        <v>211.0</v>
      </c>
      <c r="D213" s="260" t="str">
        <f>IFERROR(__xludf.DUMMYFUNCTION("if(B213&lt;=999,if(B213&lt;=99,IF(B213&lt;=9,join(,""000"",B213),join(,""00"",B213)),join(,""0"",B213)),B213)"),"0177")</f>
        <v>0177</v>
      </c>
      <c r="E213" s="263" t="str">
        <f>vlookup(B213,'Geotagging Master All-Training '!$A$2:$C$2474,2,false)</f>
        <v>#N/A</v>
      </c>
      <c r="F213" s="263" t="str">
        <f>vlookup(B213,'Geotagging Master All-Training '!$A$2:$C$2474,3,false)</f>
        <v>#N/A</v>
      </c>
      <c r="G213" s="265" t="s">
        <v>20</v>
      </c>
      <c r="H213" s="258"/>
    </row>
    <row r="214" hidden="1">
      <c r="A214" s="258">
        <v>1248.0</v>
      </c>
      <c r="B214" s="259">
        <v>1248.0</v>
      </c>
      <c r="C214" s="260">
        <v>212.0</v>
      </c>
      <c r="D214" s="260">
        <f>IFERROR(__xludf.DUMMYFUNCTION("if(B214&lt;=999,if(B214&lt;=99,IF(B214&lt;=9,join(,""000"",B214),join(,""00"",B214)),join(,""0"",B214)),B214)"),1248.0)</f>
        <v>1248</v>
      </c>
      <c r="E214" s="263" t="str">
        <f>vlookup(B214,'Geotagging Master All-Training '!$A$2:$C$2474,2,false)</f>
        <v>#N/A</v>
      </c>
      <c r="F214" s="263" t="str">
        <f>vlookup(B214,'Geotagging Master All-Training '!$A$2:$C$2474,3,false)</f>
        <v>#N/A</v>
      </c>
      <c r="G214" s="265" t="s">
        <v>20</v>
      </c>
      <c r="H214" s="258"/>
    </row>
    <row r="215" hidden="1">
      <c r="A215" s="258">
        <v>1458.0</v>
      </c>
      <c r="B215" s="258">
        <v>1458.0</v>
      </c>
      <c r="C215" s="260">
        <v>213.0</v>
      </c>
      <c r="D215" s="260">
        <f>IFERROR(__xludf.DUMMYFUNCTION("if(B215&lt;=999,if(B215&lt;=99,IF(B215&lt;=9,join(,""000"",B215),join(,""00"",B215)),join(,""0"",B215)),B215)"),1458.0)</f>
        <v>1458</v>
      </c>
      <c r="E215" s="263" t="str">
        <f>vlookup(B215,'Geotagging Master All-Training '!$A$2:$C$2474,2,false)</f>
        <v>#N/A</v>
      </c>
      <c r="F215" s="263" t="str">
        <f>vlookup(B215,'Geotagging Master All-Training '!$A$2:$C$2474,3,false)</f>
        <v>#N/A</v>
      </c>
      <c r="G215" s="265" t="s">
        <v>20</v>
      </c>
      <c r="H215" s="258"/>
    </row>
    <row r="216" hidden="1">
      <c r="A216" s="258">
        <v>1396.0</v>
      </c>
      <c r="B216" s="258">
        <v>1396.0</v>
      </c>
      <c r="C216" s="260">
        <v>214.0</v>
      </c>
      <c r="D216" s="260">
        <f>IFERROR(__xludf.DUMMYFUNCTION("if(B216&lt;=999,if(B216&lt;=99,IF(B216&lt;=9,join(,""000"",B216),join(,""00"",B216)),join(,""0"",B216)),B216)"),1396.0)</f>
        <v>1396</v>
      </c>
      <c r="E216" s="263" t="str">
        <f>vlookup(B216,'Geotagging Master All-Training '!$A$2:$C$2474,2,false)</f>
        <v>#N/A</v>
      </c>
      <c r="F216" s="263" t="str">
        <f>vlookup(B216,'Geotagging Master All-Training '!$A$2:$C$2474,3,false)</f>
        <v>#N/A</v>
      </c>
      <c r="G216" s="265" t="s">
        <v>20</v>
      </c>
      <c r="H216" s="258"/>
    </row>
    <row r="217" hidden="1">
      <c r="A217" s="258">
        <v>1056.0</v>
      </c>
      <c r="B217" s="258">
        <v>1056.0</v>
      </c>
      <c r="C217" s="260">
        <v>215.0</v>
      </c>
      <c r="D217" s="260">
        <f>IFERROR(__xludf.DUMMYFUNCTION("if(B217&lt;=999,if(B217&lt;=99,IF(B217&lt;=9,join(,""000"",B217),join(,""00"",B217)),join(,""0"",B217)),B217)"),1056.0)</f>
        <v>1056</v>
      </c>
      <c r="E217" s="263" t="str">
        <f>vlookup(B217,'Geotagging Master All-Training '!$A$2:$C$2474,2,false)</f>
        <v>#N/A</v>
      </c>
      <c r="F217" s="263" t="str">
        <f>vlookup(B217,'Geotagging Master All-Training '!$A$2:$C$2474,3,false)</f>
        <v>#N/A</v>
      </c>
      <c r="G217" s="265" t="s">
        <v>20</v>
      </c>
      <c r="H217" s="258"/>
    </row>
    <row r="218" hidden="1">
      <c r="A218" s="272">
        <v>1366.0</v>
      </c>
      <c r="B218" s="272">
        <v>1366.0</v>
      </c>
      <c r="C218" s="273">
        <v>221.0</v>
      </c>
      <c r="D218" s="273">
        <f>IFERROR(__xludf.DUMMYFUNCTION("if(B218&lt;=999,if(B218&lt;=99,IF(B218&lt;=9,join(,""000"",B218),join(,""00"",B218)),join(,""0"",B218)),B218)"),1366.0)</f>
        <v>1366</v>
      </c>
      <c r="E218" s="303" t="str">
        <f>vlookup(B218,'Geotagging Master All-Training '!$A$2:$C$2474,2,false)</f>
        <v>#N/A</v>
      </c>
      <c r="F218" s="303" t="str">
        <f>vlookup(B218,'Geotagging Master All-Training '!$A$2:$C$2474,3,false)</f>
        <v>#N/A</v>
      </c>
      <c r="G218" s="276" t="s">
        <v>20</v>
      </c>
      <c r="H218" s="272"/>
    </row>
    <row r="219" hidden="1">
      <c r="A219" s="258">
        <v>748.0</v>
      </c>
      <c r="B219" s="258">
        <v>748.0</v>
      </c>
      <c r="C219" s="260">
        <v>218.0</v>
      </c>
      <c r="D219" s="260" t="str">
        <f>IFERROR(__xludf.DUMMYFUNCTION("if(B219&lt;=999,if(B219&lt;=99,IF(B219&lt;=9,join(,""000"",B219),join(,""00"",B219)),join(,""0"",B219)),B219)"),"0748")</f>
        <v>0748</v>
      </c>
      <c r="E219" s="263" t="str">
        <f>vlookup(B219,'Geotagging Master All-Training '!$A$2:$C$2474,2,false)</f>
        <v>#N/A</v>
      </c>
      <c r="F219" s="263" t="str">
        <f>vlookup(B219,'Geotagging Master All-Training '!$A$2:$C$2474,3,false)</f>
        <v>#N/A</v>
      </c>
      <c r="G219" s="265" t="s">
        <v>20</v>
      </c>
      <c r="H219" s="258"/>
    </row>
    <row r="220" hidden="1">
      <c r="A220" s="258">
        <v>117.0</v>
      </c>
      <c r="B220" s="259">
        <v>117.0</v>
      </c>
      <c r="C220" s="260">
        <v>219.0</v>
      </c>
      <c r="D220" s="260" t="str">
        <f>IFERROR(__xludf.DUMMYFUNCTION("if(B220&lt;=999,if(B220&lt;=99,IF(B220&lt;=9,join(,""000"",B220),join(,""00"",B220)),join(,""0"",B220)),B220)"),"0117")</f>
        <v>0117</v>
      </c>
      <c r="E220" s="263" t="str">
        <f>vlookup(B220,'Geotagging Master All-Training '!$A$2:$C$2474,2,false)</f>
        <v>#N/A</v>
      </c>
      <c r="F220" s="263" t="str">
        <f>vlookup(B220,'Geotagging Master All-Training '!$A$2:$C$2474,3,false)</f>
        <v>#N/A</v>
      </c>
      <c r="G220" s="265" t="s">
        <v>20</v>
      </c>
      <c r="H220" s="258"/>
    </row>
    <row r="221" hidden="1">
      <c r="A221" s="258">
        <v>1055.0</v>
      </c>
      <c r="B221" s="258">
        <v>1055.0</v>
      </c>
      <c r="C221" s="260">
        <v>220.0</v>
      </c>
      <c r="D221" s="260">
        <f>IFERROR(__xludf.DUMMYFUNCTION("if(B221&lt;=999,if(B221&lt;=99,IF(B221&lt;=9,join(,""000"",B221),join(,""00"",B221)),join(,""0"",B221)),B221)"),1055.0)</f>
        <v>1055</v>
      </c>
      <c r="E221" s="263" t="str">
        <f>vlookup(B221,'Geotagging Master All-Training '!$A$2:$C$2474,2,false)</f>
        <v>#N/A</v>
      </c>
      <c r="F221" s="263" t="str">
        <f>vlookup(B221,'Geotagging Master All-Training '!$A$2:$C$2474,3,false)</f>
        <v>#N/A</v>
      </c>
      <c r="G221" s="265" t="s">
        <v>20</v>
      </c>
      <c r="H221" s="258"/>
    </row>
    <row r="222" hidden="1">
      <c r="A222" s="258">
        <v>1149.0</v>
      </c>
      <c r="B222" s="258">
        <v>1149.0</v>
      </c>
      <c r="C222" s="260">
        <v>222.0</v>
      </c>
      <c r="D222" s="260">
        <f>IFERROR(__xludf.DUMMYFUNCTION("if(B222&lt;=999,if(B222&lt;=99,IF(B222&lt;=9,join(,""000"",B222),join(,""00"",B222)),join(,""0"",B222)),B222)"),1149.0)</f>
        <v>1149</v>
      </c>
      <c r="E222" s="263" t="str">
        <f>vlookup(B222,'Geotagging Master All-Training '!$A$2:$C$2474,2,false)</f>
        <v>#N/A</v>
      </c>
      <c r="F222" s="263" t="str">
        <f>vlookup(B222,'Geotagging Master All-Training '!$A$2:$C$2474,3,false)</f>
        <v>#N/A</v>
      </c>
      <c r="G222" s="265" t="s">
        <v>20</v>
      </c>
      <c r="H222" s="258"/>
    </row>
    <row r="223" hidden="1">
      <c r="A223" s="258">
        <v>1229.0</v>
      </c>
      <c r="B223" s="258">
        <v>1229.0</v>
      </c>
      <c r="C223" s="260">
        <v>223.0</v>
      </c>
      <c r="D223" s="260">
        <f>IFERROR(__xludf.DUMMYFUNCTION("if(B223&lt;=999,if(B223&lt;=99,IF(B223&lt;=9,join(,""000"",B223),join(,""00"",B223)),join(,""0"",B223)),B223)"),1229.0)</f>
        <v>1229</v>
      </c>
      <c r="E223" s="263" t="str">
        <f>vlookup(B223,'Geotagging Master All-Training '!$A$2:$C$2474,2,false)</f>
        <v>#N/A</v>
      </c>
      <c r="F223" s="263" t="str">
        <f>vlookup(B223,'Geotagging Master All-Training '!$A$2:$C$2474,3,false)</f>
        <v>#N/A</v>
      </c>
      <c r="G223" s="265" t="s">
        <v>20</v>
      </c>
      <c r="H223" s="258"/>
    </row>
    <row r="224" hidden="1">
      <c r="A224" s="258">
        <v>834.0</v>
      </c>
      <c r="B224" s="258">
        <v>834.0</v>
      </c>
      <c r="C224" s="260">
        <v>224.0</v>
      </c>
      <c r="D224" s="260" t="str">
        <f>IFERROR(__xludf.DUMMYFUNCTION("if(B224&lt;=999,if(B224&lt;=99,IF(B224&lt;=9,join(,""000"",B224),join(,""00"",B224)),join(,""0"",B224)),B224)"),"0834")</f>
        <v>0834</v>
      </c>
      <c r="E224" s="263" t="str">
        <f>vlookup(B224,'Geotagging Master All-Training '!$A$2:$C$2474,2,false)</f>
        <v>#N/A</v>
      </c>
      <c r="F224" s="263" t="str">
        <f>vlookup(B224,'Geotagging Master All-Training '!$A$2:$C$2474,3,false)</f>
        <v>#N/A</v>
      </c>
      <c r="G224" s="265" t="s">
        <v>20</v>
      </c>
      <c r="H224" s="258"/>
    </row>
    <row r="225" hidden="1">
      <c r="A225" s="272">
        <v>1053.0</v>
      </c>
      <c r="B225" s="272">
        <v>1053.0</v>
      </c>
      <c r="C225" s="260">
        <v>225.0</v>
      </c>
      <c r="D225" s="273">
        <f>IFERROR(__xludf.DUMMYFUNCTION("if(B225&lt;=999,if(B225&lt;=99,IF(B225&lt;=9,join(,""000"",B225),join(,""00"",B225)),join(,""0"",B225)),B225)"),1053.0)</f>
        <v>1053</v>
      </c>
      <c r="E225" s="263" t="str">
        <f>vlookup(B225,'Geotagging Master All-Training '!$A$2:$C$2474,2,false)</f>
        <v>#N/A</v>
      </c>
      <c r="F225" s="263" t="str">
        <f>vlookup(B225,'Geotagging Master All-Training '!$A$2:$C$2474,3,false)</f>
        <v>#N/A</v>
      </c>
      <c r="G225" s="276" t="s">
        <v>20</v>
      </c>
      <c r="H225" s="272"/>
    </row>
    <row r="226" hidden="1">
      <c r="A226" s="272">
        <v>1377.0</v>
      </c>
      <c r="B226" s="272">
        <v>1377.0</v>
      </c>
      <c r="C226" s="260">
        <v>226.0</v>
      </c>
      <c r="D226" s="273">
        <f>IFERROR(__xludf.DUMMYFUNCTION("if(B226&lt;=999,if(B226&lt;=99,IF(B226&lt;=9,join(,""000"",B226),join(,""00"",B226)),join(,""0"",B226)),B226)"),1377.0)</f>
        <v>1377</v>
      </c>
      <c r="E226" s="263" t="str">
        <f>vlookup(B226,'Geotagging Master All-Training '!$A$2:$C$2474,2,false)</f>
        <v>#N/A</v>
      </c>
      <c r="F226" s="263" t="str">
        <f>vlookup(B226,'Geotagging Master All-Training '!$A$2:$C$2474,3,false)</f>
        <v>#N/A</v>
      </c>
      <c r="G226" s="276" t="s">
        <v>20</v>
      </c>
      <c r="H226" s="272"/>
    </row>
    <row r="227" hidden="1">
      <c r="A227" s="258">
        <v>1234.0</v>
      </c>
      <c r="B227" s="258">
        <v>1234.0</v>
      </c>
      <c r="C227" s="260">
        <v>227.0</v>
      </c>
      <c r="D227" s="260">
        <f>IFERROR(__xludf.DUMMYFUNCTION("if(B227&lt;=999,if(B227&lt;=99,IF(B227&lt;=9,join(,""000"",B227),join(,""00"",B227)),join(,""0"",B227)),B227)"),1234.0)</f>
        <v>1234</v>
      </c>
      <c r="E227" s="263" t="str">
        <f>vlookup(B227,'Geotagging Master All-Training '!$A$2:$C$2474,2,false)</f>
        <v>#N/A</v>
      </c>
      <c r="F227" s="263" t="str">
        <f>vlookup(B227,'Geotagging Master All-Training '!$A$2:$C$2474,3,false)</f>
        <v>#N/A</v>
      </c>
      <c r="G227" s="265" t="s">
        <v>20</v>
      </c>
      <c r="H227" s="258"/>
    </row>
    <row r="228" hidden="1">
      <c r="A228" s="258">
        <v>1076.0</v>
      </c>
      <c r="B228" s="259">
        <v>1076.0</v>
      </c>
      <c r="C228" s="260">
        <v>228.0</v>
      </c>
      <c r="D228" s="260">
        <f>IFERROR(__xludf.DUMMYFUNCTION("if(B228&lt;=999,if(B228&lt;=99,IF(B228&lt;=9,join(,""000"",B228),join(,""00"",B228)),join(,""0"",B228)),B228)"),1076.0)</f>
        <v>1076</v>
      </c>
      <c r="E228" s="263" t="str">
        <f>vlookup(B228,'Geotagging Master All-Training '!$A$2:$C$2474,2,false)</f>
        <v>#N/A</v>
      </c>
      <c r="F228" s="263" t="str">
        <f>vlookup(B228,'Geotagging Master All-Training '!$A$2:$C$2474,3,false)</f>
        <v>#N/A</v>
      </c>
      <c r="G228" s="265" t="s">
        <v>20</v>
      </c>
      <c r="H228" s="258"/>
    </row>
    <row r="229" hidden="1">
      <c r="A229" s="258">
        <v>273.0</v>
      </c>
      <c r="B229" s="258">
        <v>273.0</v>
      </c>
      <c r="C229" s="260">
        <v>229.0</v>
      </c>
      <c r="D229" s="260" t="str">
        <f>IFERROR(__xludf.DUMMYFUNCTION("if(B229&lt;=999,if(B229&lt;=99,IF(B229&lt;=9,join(,""000"",B229),join(,""00"",B229)),join(,""0"",B229)),B229)"),"0273")</f>
        <v>0273</v>
      </c>
      <c r="E229" s="263" t="str">
        <f>vlookup(B229,'Geotagging Master All-Training '!$A$2:$C$2474,2,false)</f>
        <v>#N/A</v>
      </c>
      <c r="F229" s="263" t="str">
        <f>vlookup(B229,'Geotagging Master All-Training '!$A$2:$C$2474,3,false)</f>
        <v>#N/A</v>
      </c>
      <c r="G229" s="265" t="s">
        <v>20</v>
      </c>
      <c r="H229" s="258"/>
    </row>
    <row r="230" hidden="1">
      <c r="A230" s="258">
        <v>1217.0</v>
      </c>
      <c r="B230" s="258">
        <v>1217.0</v>
      </c>
      <c r="C230" s="260">
        <v>230.0</v>
      </c>
      <c r="D230" s="260">
        <f>IFERROR(__xludf.DUMMYFUNCTION("if(B230&lt;=999,if(B230&lt;=99,IF(B230&lt;=9,join(,""000"",B230),join(,""00"",B230)),join(,""0"",B230)),B230)"),1217.0)</f>
        <v>1217</v>
      </c>
      <c r="E230" s="263" t="str">
        <f>vlookup(B230,'Geotagging Master All-Training '!$A$2:$C$2474,2,false)</f>
        <v>#N/A</v>
      </c>
      <c r="F230" s="263" t="str">
        <f>vlookup(B230,'Geotagging Master All-Training '!$A$2:$C$2474,3,false)</f>
        <v>#N/A</v>
      </c>
      <c r="G230" s="265" t="s">
        <v>20</v>
      </c>
      <c r="H230" s="258"/>
    </row>
    <row r="231" hidden="1">
      <c r="A231" s="258">
        <v>397.0</v>
      </c>
      <c r="B231" s="258">
        <v>397.0</v>
      </c>
      <c r="C231" s="260">
        <v>231.0</v>
      </c>
      <c r="D231" s="260" t="str">
        <f>IFERROR(__xludf.DUMMYFUNCTION("if(B231&lt;=999,if(B231&lt;=99,IF(B231&lt;=9,join(,""000"",B231),join(,""00"",B231)),join(,""0"",B231)),B231)"),"0397")</f>
        <v>0397</v>
      </c>
      <c r="E231" s="263" t="str">
        <f>vlookup(B231,'Geotagging Master All-Training '!$A$2:$C$2474,2,false)</f>
        <v>#N/A</v>
      </c>
      <c r="F231" s="263" t="str">
        <f>vlookup(B231,'Geotagging Master All-Training '!$A$2:$C$2474,3,false)</f>
        <v>#N/A</v>
      </c>
      <c r="G231" s="265" t="s">
        <v>20</v>
      </c>
      <c r="H231" s="258"/>
    </row>
    <row r="232" hidden="1">
      <c r="A232" s="258">
        <v>1291.0</v>
      </c>
      <c r="B232" s="258">
        <v>1291.0</v>
      </c>
      <c r="C232" s="260">
        <v>232.0</v>
      </c>
      <c r="D232" s="260">
        <f>IFERROR(__xludf.DUMMYFUNCTION("if(B232&lt;=999,if(B232&lt;=99,IF(B232&lt;=9,join(,""000"",B232),join(,""00"",B232)),join(,""0"",B232)),B232)"),1291.0)</f>
        <v>1291</v>
      </c>
      <c r="E232" s="263" t="str">
        <f>vlookup(B232,'Geotagging Master All-Training '!$A$2:$C$2474,2,false)</f>
        <v>#N/A</v>
      </c>
      <c r="F232" s="263" t="str">
        <f>vlookup(B232,'Geotagging Master All-Training '!$A$2:$C$2474,3,false)</f>
        <v>#N/A</v>
      </c>
      <c r="G232" s="265" t="s">
        <v>20</v>
      </c>
      <c r="H232" s="258"/>
    </row>
    <row r="233" hidden="1">
      <c r="A233" s="258">
        <v>609.0</v>
      </c>
      <c r="B233" s="258">
        <v>609.0</v>
      </c>
      <c r="C233" s="260">
        <v>233.0</v>
      </c>
      <c r="D233" s="260" t="str">
        <f>IFERROR(__xludf.DUMMYFUNCTION("if(B233&lt;=999,if(B233&lt;=99,IF(B233&lt;=9,join(,""000"",B233),join(,""00"",B233)),join(,""0"",B233)),B233)"),"0609")</f>
        <v>0609</v>
      </c>
      <c r="E233" s="263" t="str">
        <f>vlookup(B233,'Geotagging Master All-Training '!$A$2:$C$2474,2,false)</f>
        <v>#N/A</v>
      </c>
      <c r="F233" s="263" t="str">
        <f>vlookup(B233,'Geotagging Master All-Training '!$A$2:$C$2474,3,false)</f>
        <v>#N/A</v>
      </c>
      <c r="G233" s="265" t="s">
        <v>20</v>
      </c>
      <c r="H233" s="258"/>
    </row>
    <row r="234" hidden="1">
      <c r="A234" s="258">
        <v>1315.0</v>
      </c>
      <c r="B234" s="259">
        <v>1315.0</v>
      </c>
      <c r="C234" s="260">
        <v>234.0</v>
      </c>
      <c r="D234" s="260">
        <f>IFERROR(__xludf.DUMMYFUNCTION("if(B234&lt;=999,if(B234&lt;=99,IF(B234&lt;=9,join(,""000"",B234),join(,""00"",B234)),join(,""0"",B234)),B234)"),1315.0)</f>
        <v>1315</v>
      </c>
      <c r="E234" s="263" t="str">
        <f>vlookup(B234,'Geotagging Master All-Training '!$A$2:$C$2474,2,false)</f>
        <v>#N/A</v>
      </c>
      <c r="F234" s="263" t="str">
        <f>vlookup(B234,'Geotagging Master All-Training '!$A$2:$C$2474,3,false)</f>
        <v>#N/A</v>
      </c>
      <c r="G234" s="265" t="s">
        <v>20</v>
      </c>
      <c r="H234" s="258"/>
    </row>
    <row r="235" hidden="1">
      <c r="A235" s="258">
        <v>1277.0</v>
      </c>
      <c r="B235" s="258">
        <v>1277.0</v>
      </c>
      <c r="C235" s="260">
        <v>235.0</v>
      </c>
      <c r="D235" s="260">
        <f>IFERROR(__xludf.DUMMYFUNCTION("if(B235&lt;=999,if(B235&lt;=99,IF(B235&lt;=9,join(,""000"",B235),join(,""00"",B235)),join(,""0"",B235)),B235)"),1277.0)</f>
        <v>1277</v>
      </c>
      <c r="E235" s="263" t="str">
        <f>vlookup(B235,'Geotagging Master All-Training '!$A$2:$C$2474,2,false)</f>
        <v>#N/A</v>
      </c>
      <c r="F235" s="263" t="str">
        <f>vlookup(B235,'Geotagging Master All-Training '!$A$2:$C$2474,3,false)</f>
        <v>#N/A</v>
      </c>
      <c r="G235" s="265" t="s">
        <v>20</v>
      </c>
      <c r="H235" s="258"/>
    </row>
    <row r="236" hidden="1">
      <c r="A236" s="258">
        <v>1065.0</v>
      </c>
      <c r="B236" s="258">
        <v>1065.0</v>
      </c>
      <c r="C236" s="260">
        <v>236.0</v>
      </c>
      <c r="D236" s="260">
        <f>IFERROR(__xludf.DUMMYFUNCTION("if(B236&lt;=999,if(B236&lt;=99,IF(B236&lt;=9,join(,""000"",B236),join(,""00"",B236)),join(,""0"",B236)),B236)"),1065.0)</f>
        <v>1065</v>
      </c>
      <c r="E236" s="263" t="str">
        <f>vlookup(B236,'Geotagging Master All-Training '!$A$2:$C$2474,2,false)</f>
        <v>#N/A</v>
      </c>
      <c r="F236" s="263" t="str">
        <f>vlookup(B236,'Geotagging Master All-Training '!$A$2:$C$2474,3,false)</f>
        <v>#N/A</v>
      </c>
      <c r="G236" s="265" t="s">
        <v>20</v>
      </c>
      <c r="H236" s="258"/>
    </row>
    <row r="237" hidden="1">
      <c r="A237" s="258">
        <v>1276.0</v>
      </c>
      <c r="B237" s="259">
        <v>1276.0</v>
      </c>
      <c r="C237" s="260">
        <v>237.0</v>
      </c>
      <c r="D237" s="260">
        <f>IFERROR(__xludf.DUMMYFUNCTION("if(B237&lt;=999,if(B237&lt;=99,IF(B237&lt;=9,join(,""000"",B237),join(,""00"",B237)),join(,""0"",B237)),B237)"),1276.0)</f>
        <v>1276</v>
      </c>
      <c r="E237" s="263" t="str">
        <f>vlookup(B237,'Geotagging Master All-Training '!$A$2:$C$2474,2,false)</f>
        <v>#N/A</v>
      </c>
      <c r="F237" s="263" t="str">
        <f>vlookup(B237,'Geotagging Master All-Training '!$A$2:$C$2474,3,false)</f>
        <v>#N/A</v>
      </c>
      <c r="G237" s="265" t="s">
        <v>20</v>
      </c>
      <c r="H237" s="258"/>
    </row>
    <row r="238" hidden="1">
      <c r="A238" s="258">
        <v>1224.0</v>
      </c>
      <c r="B238" s="258">
        <v>1224.0</v>
      </c>
      <c r="C238" s="260">
        <v>238.0</v>
      </c>
      <c r="D238" s="260">
        <f>IFERROR(__xludf.DUMMYFUNCTION("if(B238&lt;=999,if(B238&lt;=99,IF(B238&lt;=9,join(,""000"",B238),join(,""00"",B238)),join(,""0"",B238)),B238)"),1224.0)</f>
        <v>1224</v>
      </c>
      <c r="E238" s="263" t="str">
        <f>vlookup(B238,'Geotagging Master All-Training '!$A$2:$C$2474,2,false)</f>
        <v>#N/A</v>
      </c>
      <c r="F238" s="263" t="str">
        <f>vlookup(B238,'Geotagging Master All-Training '!$A$2:$C$2474,3,false)</f>
        <v>#N/A</v>
      </c>
      <c r="G238" s="265" t="s">
        <v>20</v>
      </c>
      <c r="H238" s="258"/>
    </row>
    <row r="239" hidden="1">
      <c r="A239" s="258">
        <v>1114.0</v>
      </c>
      <c r="B239" s="258">
        <v>1114.0</v>
      </c>
      <c r="C239" s="260">
        <v>239.0</v>
      </c>
      <c r="D239" s="260">
        <f>IFERROR(__xludf.DUMMYFUNCTION("if(B239&lt;=999,if(B239&lt;=99,IF(B239&lt;=9,join(,""000"",B239),join(,""00"",B239)),join(,""0"",B239)),B239)"),1114.0)</f>
        <v>1114</v>
      </c>
      <c r="E239" s="263" t="str">
        <f>vlookup(B239,'Geotagging Master All-Training '!$A$2:$C$2474,2,false)</f>
        <v>#N/A</v>
      </c>
      <c r="F239" s="263" t="str">
        <f>vlookup(B239,'Geotagging Master All-Training '!$A$2:$C$2474,3,false)</f>
        <v>#N/A</v>
      </c>
      <c r="G239" s="265" t="s">
        <v>20</v>
      </c>
      <c r="H239" s="258"/>
    </row>
    <row r="240" hidden="1">
      <c r="A240" s="258">
        <v>1288.0</v>
      </c>
      <c r="B240" s="258">
        <v>1288.0</v>
      </c>
      <c r="C240" s="260">
        <v>240.0</v>
      </c>
      <c r="D240" s="260">
        <f>IFERROR(__xludf.DUMMYFUNCTION("if(B240&lt;=999,if(B240&lt;=99,IF(B240&lt;=9,join(,""000"",B240),join(,""00"",B240)),join(,""0"",B240)),B240)"),1288.0)</f>
        <v>1288</v>
      </c>
      <c r="E240" s="263" t="str">
        <f>vlookup(B240,'Geotagging Master All-Training '!$A$2:$C$2474,2,false)</f>
        <v>#N/A</v>
      </c>
      <c r="F240" s="263" t="str">
        <f>vlookup(B240,'Geotagging Master All-Training '!$A$2:$C$2474,3,false)</f>
        <v>#N/A</v>
      </c>
      <c r="G240" s="265" t="s">
        <v>20</v>
      </c>
      <c r="H240" s="258"/>
    </row>
    <row r="241" hidden="1">
      <c r="A241" s="272">
        <v>915.0</v>
      </c>
      <c r="B241" s="272">
        <v>915.0</v>
      </c>
      <c r="C241" s="260">
        <v>241.0</v>
      </c>
      <c r="D241" s="273" t="str">
        <f>IFERROR(__xludf.DUMMYFUNCTION("if(B241&lt;=999,if(B241&lt;=99,IF(B241&lt;=9,join(,""000"",B241),join(,""00"",B241)),join(,""0"",B241)),B241)"),"0915")</f>
        <v>0915</v>
      </c>
      <c r="E241" s="263" t="str">
        <f>vlookup(B241,'Geotagging Master All-Training '!$A$2:$C$2474,2,false)</f>
        <v>#N/A</v>
      </c>
      <c r="F241" s="263" t="str">
        <f>vlookup(B241,'Geotagging Master All-Training '!$A$2:$C$2474,3,false)</f>
        <v>#N/A</v>
      </c>
      <c r="G241" s="276" t="s">
        <v>20</v>
      </c>
      <c r="H241" s="272"/>
    </row>
    <row r="242" hidden="1">
      <c r="A242" s="258">
        <v>84.0</v>
      </c>
      <c r="B242" s="259">
        <v>84.0</v>
      </c>
      <c r="C242" s="260">
        <v>242.0</v>
      </c>
      <c r="D242" s="260" t="str">
        <f>IFERROR(__xludf.DUMMYFUNCTION("if(B242&lt;=999,if(B242&lt;=99,IF(B242&lt;=9,join(,""000"",B242),join(,""00"",B242)),join(,""0"",B242)),B242)"),"0084")</f>
        <v>0084</v>
      </c>
      <c r="E242" s="263" t="str">
        <f>vlookup(B242,'Geotagging Master All-Training '!$A$2:$C$2474,2,false)</f>
        <v>#N/A</v>
      </c>
      <c r="F242" s="263" t="str">
        <f>vlookup(B242,'Geotagging Master All-Training '!$A$2:$C$2474,3,false)</f>
        <v>#N/A</v>
      </c>
      <c r="G242" s="265" t="s">
        <v>20</v>
      </c>
      <c r="H242" s="258"/>
    </row>
    <row r="243" hidden="1">
      <c r="A243" s="272">
        <v>225.0</v>
      </c>
      <c r="B243" s="272">
        <v>225.0</v>
      </c>
      <c r="C243" s="260">
        <v>243.0</v>
      </c>
      <c r="D243" s="273" t="str">
        <f>IFERROR(__xludf.DUMMYFUNCTION("if(B243&lt;=999,if(B243&lt;=99,IF(B243&lt;=9,join(,""000"",B243),join(,""00"",B243)),join(,""0"",B243)),B243)"),"0225")</f>
        <v>0225</v>
      </c>
      <c r="E243" s="263" t="str">
        <f>vlookup(B243,'Geotagging Master All-Training '!$A$2:$C$2474,2,false)</f>
        <v>#N/A</v>
      </c>
      <c r="F243" s="263" t="str">
        <f>vlookup(B243,'Geotagging Master All-Training '!$A$2:$C$2474,3,false)</f>
        <v>#N/A</v>
      </c>
      <c r="G243" s="276" t="s">
        <v>20</v>
      </c>
      <c r="H243" s="272"/>
    </row>
    <row r="244" hidden="1">
      <c r="A244" s="258">
        <v>1200.0</v>
      </c>
      <c r="B244" s="258">
        <v>1200.0</v>
      </c>
      <c r="C244" s="260">
        <v>244.0</v>
      </c>
      <c r="D244" s="260">
        <f>IFERROR(__xludf.DUMMYFUNCTION("if(B244&lt;=999,if(B244&lt;=99,IF(B244&lt;=9,join(,""000"",B244),join(,""00"",B244)),join(,""0"",B244)),B244)"),1200.0)</f>
        <v>1200</v>
      </c>
      <c r="E244" s="263" t="str">
        <f>vlookup(B244,'Geotagging Master All-Training '!$A$2:$C$2474,2,false)</f>
        <v>#N/A</v>
      </c>
      <c r="F244" s="263" t="str">
        <f>vlookup(B244,'Geotagging Master All-Training '!$A$2:$C$2474,3,false)</f>
        <v>#N/A</v>
      </c>
      <c r="G244" s="265" t="s">
        <v>20</v>
      </c>
      <c r="H244" s="258"/>
    </row>
    <row r="245" hidden="1">
      <c r="A245" s="272">
        <v>1075.0</v>
      </c>
      <c r="B245" s="272">
        <v>1075.0</v>
      </c>
      <c r="C245" s="260">
        <v>245.0</v>
      </c>
      <c r="D245" s="273">
        <f>IFERROR(__xludf.DUMMYFUNCTION("if(B245&lt;=999,if(B245&lt;=99,IF(B245&lt;=9,join(,""000"",B245),join(,""00"",B245)),join(,""0"",B245)),B245)"),1075.0)</f>
        <v>1075</v>
      </c>
      <c r="E245" s="263" t="str">
        <f>vlookup(B245,'Geotagging Master All-Training '!$A$2:$C$2474,2,false)</f>
        <v>#N/A</v>
      </c>
      <c r="F245" s="263" t="str">
        <f>vlookup(B245,'Geotagging Master All-Training '!$A$2:$C$2474,3,false)</f>
        <v>#N/A</v>
      </c>
      <c r="G245" s="276" t="s">
        <v>20</v>
      </c>
      <c r="H245" s="272"/>
    </row>
    <row r="246" hidden="1">
      <c r="A246" s="258">
        <v>1336.0</v>
      </c>
      <c r="B246" s="258">
        <v>1336.0</v>
      </c>
      <c r="C246" s="260">
        <v>246.0</v>
      </c>
      <c r="D246" s="260">
        <f>IFERROR(__xludf.DUMMYFUNCTION("if(B246&lt;=999,if(B246&lt;=99,IF(B246&lt;=9,join(,""000"",B246),join(,""00"",B246)),join(,""0"",B246)),B246)"),1336.0)</f>
        <v>1336</v>
      </c>
      <c r="E246" s="263" t="str">
        <f>vlookup(B246,'Geotagging Master All-Training '!$A$2:$C$2474,2,false)</f>
        <v>#N/A</v>
      </c>
      <c r="F246" s="263" t="str">
        <f>vlookup(B246,'Geotagging Master All-Training '!$A$2:$C$2474,3,false)</f>
        <v>#N/A</v>
      </c>
      <c r="G246" s="265" t="s">
        <v>20</v>
      </c>
      <c r="H246" s="258"/>
    </row>
    <row r="247" hidden="1">
      <c r="A247" s="258">
        <v>1073.0</v>
      </c>
      <c r="B247" s="258">
        <v>1073.0</v>
      </c>
      <c r="C247" s="260">
        <v>247.0</v>
      </c>
      <c r="D247" s="260">
        <f>IFERROR(__xludf.DUMMYFUNCTION("if(B247&lt;=999,if(B247&lt;=99,IF(B247&lt;=9,join(,""000"",B247),join(,""00"",B247)),join(,""0"",B247)),B247)"),1073.0)</f>
        <v>1073</v>
      </c>
      <c r="E247" s="263" t="str">
        <f>vlookup(B247,'Geotagging Master All-Training '!$A$2:$C$2474,2,false)</f>
        <v>#N/A</v>
      </c>
      <c r="F247" s="263" t="str">
        <f>vlookup(B247,'Geotagging Master All-Training '!$A$2:$C$2474,3,false)</f>
        <v>#N/A</v>
      </c>
      <c r="G247" s="265" t="s">
        <v>20</v>
      </c>
      <c r="H247" s="258"/>
    </row>
    <row r="248" hidden="1">
      <c r="A248" s="258">
        <v>758.0</v>
      </c>
      <c r="B248" s="259">
        <v>758.0</v>
      </c>
      <c r="C248" s="260">
        <v>248.0</v>
      </c>
      <c r="D248" s="260" t="str">
        <f>IFERROR(__xludf.DUMMYFUNCTION("if(B248&lt;=999,if(B248&lt;=99,IF(B248&lt;=9,join(,""000"",B248),join(,""00"",B248)),join(,""0"",B248)),B248)"),"0758")</f>
        <v>0758</v>
      </c>
      <c r="E248" s="263" t="str">
        <f>vlookup(B248,'Geotagging Master All-Training '!$A$2:$C$2474,2,false)</f>
        <v>#N/A</v>
      </c>
      <c r="F248" s="263" t="str">
        <f>vlookup(B248,'Geotagging Master All-Training '!$A$2:$C$2474,3,false)</f>
        <v>#N/A</v>
      </c>
      <c r="G248" s="265" t="s">
        <v>20</v>
      </c>
      <c r="H248" s="258"/>
    </row>
    <row r="249" hidden="1">
      <c r="A249" s="258">
        <v>1137.0</v>
      </c>
      <c r="B249" s="258">
        <v>1137.0</v>
      </c>
      <c r="C249" s="260">
        <v>249.0</v>
      </c>
      <c r="D249" s="260">
        <f>IFERROR(__xludf.DUMMYFUNCTION("if(B249&lt;=999,if(B249&lt;=99,IF(B249&lt;=9,join(,""000"",B249),join(,""00"",B249)),join(,""0"",B249)),B249)"),1137.0)</f>
        <v>1137</v>
      </c>
      <c r="E249" s="263" t="str">
        <f>vlookup(B249,'Geotagging Master All-Training '!$A$2:$C$2474,2,false)</f>
        <v>#N/A</v>
      </c>
      <c r="F249" s="263" t="str">
        <f>vlookup(B249,'Geotagging Master All-Training '!$A$2:$C$2474,3,false)</f>
        <v>#N/A</v>
      </c>
      <c r="G249" s="265" t="s">
        <v>20</v>
      </c>
      <c r="H249" s="258"/>
    </row>
    <row r="250" hidden="1">
      <c r="A250" s="258">
        <v>1270.0</v>
      </c>
      <c r="B250" s="258">
        <v>1270.0</v>
      </c>
      <c r="C250" s="260">
        <v>250.0</v>
      </c>
      <c r="D250" s="260">
        <f>IFERROR(__xludf.DUMMYFUNCTION("if(B250&lt;=999,if(B250&lt;=99,IF(B250&lt;=9,join(,""000"",B250),join(,""00"",B250)),join(,""0"",B250)),B250)"),1270.0)</f>
        <v>1270</v>
      </c>
      <c r="E250" s="263" t="str">
        <f>vlookup(B250,'Geotagging Master All-Training '!$A$2:$C$2474,2,false)</f>
        <v>#N/A</v>
      </c>
      <c r="F250" s="263" t="str">
        <f>vlookup(B250,'Geotagging Master All-Training '!$A$2:$C$2474,3,false)</f>
        <v>#N/A</v>
      </c>
      <c r="G250" s="265" t="s">
        <v>20</v>
      </c>
      <c r="H250" s="258"/>
    </row>
    <row r="251" hidden="1">
      <c r="A251" s="258">
        <v>676.0</v>
      </c>
      <c r="B251" s="258">
        <v>676.0</v>
      </c>
      <c r="C251" s="260">
        <v>251.0</v>
      </c>
      <c r="D251" s="260" t="str">
        <f>IFERROR(__xludf.DUMMYFUNCTION("if(B251&lt;=999,if(B251&lt;=99,IF(B251&lt;=9,join(,""000"",B251),join(,""00"",B251)),join(,""0"",B251)),B251)"),"0676")</f>
        <v>0676</v>
      </c>
      <c r="E251" s="263" t="str">
        <f>vlookup(B251,'Geotagging Master All-Training '!$A$2:$C$2474,2,false)</f>
        <v>#N/A</v>
      </c>
      <c r="F251" s="263" t="str">
        <f>vlookup(B251,'Geotagging Master All-Training '!$A$2:$C$2474,3,false)</f>
        <v>#N/A</v>
      </c>
      <c r="G251" s="265" t="s">
        <v>20</v>
      </c>
      <c r="H251" s="258"/>
    </row>
    <row r="252" hidden="1">
      <c r="A252" s="258">
        <v>1316.0</v>
      </c>
      <c r="B252" s="258">
        <v>1316.0</v>
      </c>
      <c r="C252" s="260">
        <v>252.0</v>
      </c>
      <c r="D252" s="260">
        <f>IFERROR(__xludf.DUMMYFUNCTION("if(B252&lt;=999,if(B252&lt;=99,IF(B252&lt;=9,join(,""000"",B252),join(,""00"",B252)),join(,""0"",B252)),B252)"),1316.0)</f>
        <v>1316</v>
      </c>
      <c r="E252" s="263" t="str">
        <f>vlookup(B252,'Geotagging Master All-Training '!$A$2:$C$2474,2,false)</f>
        <v>#N/A</v>
      </c>
      <c r="F252" s="263" t="str">
        <f>vlookup(B252,'Geotagging Master All-Training '!$A$2:$C$2474,3,false)</f>
        <v>#N/A</v>
      </c>
      <c r="G252" s="265" t="s">
        <v>20</v>
      </c>
      <c r="H252" s="258"/>
    </row>
    <row r="253" hidden="1">
      <c r="A253" s="272">
        <v>1131.0</v>
      </c>
      <c r="B253" s="272">
        <v>1131.0</v>
      </c>
      <c r="C253" s="260">
        <v>253.0</v>
      </c>
      <c r="D253" s="273">
        <f>IFERROR(__xludf.DUMMYFUNCTION("if(B253&lt;=999,if(B253&lt;=99,IF(B253&lt;=9,join(,""000"",B253),join(,""00"",B253)),join(,""0"",B253)),B253)"),1131.0)</f>
        <v>1131</v>
      </c>
      <c r="E253" s="263" t="str">
        <f>vlookup(B253,'Geotagging Master All-Training '!$A$2:$C$2474,2,false)</f>
        <v>#N/A</v>
      </c>
      <c r="F253" s="263" t="str">
        <f>vlookup(B253,'Geotagging Master All-Training '!$A$2:$C$2474,3,false)</f>
        <v>#N/A</v>
      </c>
      <c r="G253" s="276" t="s">
        <v>20</v>
      </c>
      <c r="H253" s="272"/>
    </row>
    <row r="254" hidden="1">
      <c r="A254" s="258">
        <v>1284.0</v>
      </c>
      <c r="B254" s="258">
        <v>1284.0</v>
      </c>
      <c r="C254" s="260">
        <v>254.0</v>
      </c>
      <c r="D254" s="260">
        <f>IFERROR(__xludf.DUMMYFUNCTION("if(B254&lt;=999,if(B254&lt;=99,IF(B254&lt;=9,join(,""000"",B254),join(,""00"",B254)),join(,""0"",B254)),B254)"),1284.0)</f>
        <v>1284</v>
      </c>
      <c r="E254" s="263" t="str">
        <f>vlookup(B254,'Geotagging Master All-Training '!$A$2:$C$2474,2,false)</f>
        <v>#N/A</v>
      </c>
      <c r="F254" s="263" t="str">
        <f>vlookup(B254,'Geotagging Master All-Training '!$A$2:$C$2474,3,false)</f>
        <v>#N/A</v>
      </c>
      <c r="G254" s="265" t="s">
        <v>20</v>
      </c>
      <c r="H254" s="258"/>
    </row>
    <row r="255" hidden="1">
      <c r="A255" s="258">
        <v>1208.0</v>
      </c>
      <c r="B255" s="259">
        <v>1208.0</v>
      </c>
      <c r="C255" s="260">
        <v>255.0</v>
      </c>
      <c r="D255" s="260">
        <f>IFERROR(__xludf.DUMMYFUNCTION("if(B255&lt;=999,if(B255&lt;=99,IF(B255&lt;=9,join(,""000"",B255),join(,""00"",B255)),join(,""0"",B255)),B255)"),1208.0)</f>
        <v>1208</v>
      </c>
      <c r="E255" s="263" t="str">
        <f>vlookup(B255,'Geotagging Master All-Training '!$A$2:$C$2474,2,false)</f>
        <v>#N/A</v>
      </c>
      <c r="F255" s="263" t="str">
        <f>vlookup(B255,'Geotagging Master All-Training '!$A$2:$C$2474,3,false)</f>
        <v>#N/A</v>
      </c>
      <c r="G255" s="265" t="s">
        <v>20</v>
      </c>
      <c r="H255" s="258"/>
    </row>
    <row r="256" hidden="1">
      <c r="A256" s="258">
        <v>1129.0</v>
      </c>
      <c r="B256" s="258">
        <v>1129.0</v>
      </c>
      <c r="C256" s="273">
        <v>20.0</v>
      </c>
      <c r="D256" s="260">
        <f>IFERROR(__xludf.DUMMYFUNCTION("if(B256&lt;=999,if(B256&lt;=99,IF(B256&lt;=9,join(,""000"",B256),join(,""00"",B256)),join(,""0"",B256)),B256)"),1129.0)</f>
        <v>1129</v>
      </c>
      <c r="E256" s="263" t="str">
        <f>vlookup(B256,'Geotagging Master All-Training '!$A$2:$C$2474,2,false)</f>
        <v>#N/A</v>
      </c>
      <c r="F256" s="263" t="str">
        <f>vlookup(B256,'Geotagging Master All-Training '!$A$2:$C$2474,3,false)</f>
        <v>#N/A</v>
      </c>
      <c r="G256" s="265" t="s">
        <v>35</v>
      </c>
      <c r="H256" s="258"/>
    </row>
    <row r="257" hidden="1">
      <c r="A257" s="258">
        <v>801.0</v>
      </c>
      <c r="B257" s="259">
        <v>801.0</v>
      </c>
      <c r="C257" s="260">
        <v>257.0</v>
      </c>
      <c r="D257" s="260" t="str">
        <f>IFERROR(__xludf.DUMMYFUNCTION("if(B257&lt;=999,if(B257&lt;=99,IF(B257&lt;=9,join(,""000"",B257),join(,""00"",B257)),join(,""0"",B257)),B257)"),"0801")</f>
        <v>0801</v>
      </c>
      <c r="E257" s="263" t="str">
        <f>vlookup(B257,'Geotagging Master All-Training '!$A$2:$C$2474,2,false)</f>
        <v>#N/A</v>
      </c>
      <c r="F257" s="263" t="str">
        <f>vlookup(B257,'Geotagging Master All-Training '!$A$2:$C$2474,3,false)</f>
        <v>#N/A</v>
      </c>
      <c r="G257" s="265" t="s">
        <v>20</v>
      </c>
      <c r="H257" s="258"/>
    </row>
    <row r="258" hidden="1">
      <c r="A258" s="258">
        <v>524.0</v>
      </c>
      <c r="B258" s="258">
        <v>524.0</v>
      </c>
      <c r="C258" s="260">
        <v>258.0</v>
      </c>
      <c r="D258" s="260" t="str">
        <f>IFERROR(__xludf.DUMMYFUNCTION("if(B258&lt;=999,if(B258&lt;=99,IF(B258&lt;=9,join(,""000"",B258),join(,""00"",B258)),join(,""0"",B258)),B258)"),"0524")</f>
        <v>0524</v>
      </c>
      <c r="E258" s="263" t="str">
        <f>vlookup(B258,'Geotagging Master All-Training '!$A$2:$C$2474,2,false)</f>
        <v>#N/A</v>
      </c>
      <c r="F258" s="263" t="str">
        <f>vlookup(B258,'Geotagging Master All-Training '!$A$2:$C$2474,3,false)</f>
        <v>#N/A</v>
      </c>
      <c r="G258" s="265" t="s">
        <v>20</v>
      </c>
      <c r="H258" s="258"/>
    </row>
    <row r="259" hidden="1">
      <c r="A259" s="258">
        <v>19.0</v>
      </c>
      <c r="B259" s="259">
        <v>19.0</v>
      </c>
      <c r="C259" s="260">
        <v>259.0</v>
      </c>
      <c r="D259" s="260" t="str">
        <f>IFERROR(__xludf.DUMMYFUNCTION("if(B259&lt;=999,if(B259&lt;=99,IF(B259&lt;=9,join(,""000"",B259),join(,""00"",B259)),join(,""0"",B259)),B259)"),"0019")</f>
        <v>0019</v>
      </c>
      <c r="E259" s="263" t="str">
        <f>vlookup(B259,'Geotagging Master All-Training '!$A$2:$C$2474,2,false)</f>
        <v>#N/A</v>
      </c>
      <c r="F259" s="263" t="str">
        <f>vlookup(B259,'Geotagging Master All-Training '!$A$2:$C$2474,3,false)</f>
        <v>#N/A</v>
      </c>
      <c r="G259" s="265" t="s">
        <v>20</v>
      </c>
      <c r="H259" s="258"/>
    </row>
    <row r="260" hidden="1">
      <c r="A260" s="258">
        <v>1271.0</v>
      </c>
      <c r="B260" s="258">
        <v>1271.0</v>
      </c>
      <c r="C260" s="260">
        <v>260.0</v>
      </c>
      <c r="D260" s="260">
        <f>IFERROR(__xludf.DUMMYFUNCTION("if(B260&lt;=999,if(B260&lt;=99,IF(B260&lt;=9,join(,""000"",B260),join(,""00"",B260)),join(,""0"",B260)),B260)"),1271.0)</f>
        <v>1271</v>
      </c>
      <c r="E260" s="263" t="str">
        <f>vlookup(B260,'Geotagging Master All-Training '!$A$2:$C$2474,2,false)</f>
        <v>#N/A</v>
      </c>
      <c r="F260" s="263" t="str">
        <f>vlookup(B260,'Geotagging Master All-Training '!$A$2:$C$2474,3,false)</f>
        <v>#N/A</v>
      </c>
      <c r="G260" s="265" t="s">
        <v>20</v>
      </c>
      <c r="H260" s="258"/>
    </row>
    <row r="261" hidden="1">
      <c r="A261" s="258">
        <v>1124.0</v>
      </c>
      <c r="B261" s="258">
        <v>1124.0</v>
      </c>
      <c r="C261" s="260">
        <v>262.0</v>
      </c>
      <c r="D261" s="260">
        <f>IFERROR(__xludf.DUMMYFUNCTION("if(B261&lt;=999,if(B261&lt;=99,IF(B261&lt;=9,join(,""000"",B261),join(,""00"",B261)),join(,""0"",B261)),B261)"),1124.0)</f>
        <v>1124</v>
      </c>
      <c r="E261" s="263" t="str">
        <f>vlookup(B261,'Geotagging Master All-Training '!$A$2:$C$2474,2,false)</f>
        <v>#N/A</v>
      </c>
      <c r="F261" s="263" t="str">
        <f>vlookup(B261,'Geotagging Master All-Training '!$A$2:$C$2474,3,false)</f>
        <v>#N/A</v>
      </c>
      <c r="G261" s="265" t="s">
        <v>20</v>
      </c>
      <c r="H261" s="258"/>
    </row>
    <row r="262" hidden="1">
      <c r="A262" s="258">
        <v>1433.0</v>
      </c>
      <c r="B262" s="259">
        <v>1433.0</v>
      </c>
      <c r="C262" s="260">
        <v>263.0</v>
      </c>
      <c r="D262" s="260">
        <f>IFERROR(__xludf.DUMMYFUNCTION("if(B262&lt;=999,if(B262&lt;=99,IF(B262&lt;=9,join(,""000"",B262),join(,""00"",B262)),join(,""0"",B262)),B262)"),1433.0)</f>
        <v>1433</v>
      </c>
      <c r="E262" s="263" t="str">
        <f>vlookup(B262,'Geotagging Master All-Training '!$A$2:$C$2474,2,false)</f>
        <v>#N/A</v>
      </c>
      <c r="F262" s="263" t="str">
        <f>vlookup(B262,'Geotagging Master All-Training '!$A$2:$C$2474,3,false)</f>
        <v>#N/A</v>
      </c>
      <c r="G262" s="265" t="s">
        <v>20</v>
      </c>
      <c r="H262" s="258"/>
    </row>
    <row r="263" hidden="1">
      <c r="A263" s="258">
        <v>1042.0</v>
      </c>
      <c r="B263" s="258">
        <v>1042.0</v>
      </c>
      <c r="C263" s="260">
        <v>264.0</v>
      </c>
      <c r="D263" s="260">
        <f>IFERROR(__xludf.DUMMYFUNCTION("if(B263&lt;=999,if(B263&lt;=99,IF(B263&lt;=9,join(,""000"",B263),join(,""00"",B263)),join(,""0"",B263)),B263)"),1042.0)</f>
        <v>1042</v>
      </c>
      <c r="E263" s="263" t="str">
        <f>vlookup(B263,'Geotagging Master All-Training '!$A$2:$C$2474,2,false)</f>
        <v>#N/A</v>
      </c>
      <c r="F263" s="263" t="str">
        <f>vlookup(B263,'Geotagging Master All-Training '!$A$2:$C$2474,3,false)</f>
        <v>#N/A</v>
      </c>
      <c r="G263" s="265" t="s">
        <v>20</v>
      </c>
      <c r="H263" s="258"/>
    </row>
    <row r="264" hidden="1">
      <c r="A264" s="258">
        <v>1307.0</v>
      </c>
      <c r="B264" s="258">
        <v>1307.0</v>
      </c>
      <c r="C264" s="260">
        <v>265.0</v>
      </c>
      <c r="D264" s="260">
        <f>IFERROR(__xludf.DUMMYFUNCTION("if(B264&lt;=999,if(B264&lt;=99,IF(B264&lt;=9,join(,""000"",B264),join(,""00"",B264)),join(,""0"",B264)),B264)"),1307.0)</f>
        <v>1307</v>
      </c>
      <c r="E264" s="263" t="str">
        <f>vlookup(B264,'Geotagging Master All-Training '!$A$2:$C$2474,2,false)</f>
        <v>#N/A</v>
      </c>
      <c r="F264" s="263" t="str">
        <f>vlookup(B264,'Geotagging Master All-Training '!$A$2:$C$2474,3,false)</f>
        <v>#N/A</v>
      </c>
      <c r="G264" s="265" t="s">
        <v>20</v>
      </c>
      <c r="H264" s="258"/>
    </row>
    <row r="265" hidden="1">
      <c r="A265" s="258">
        <v>1111.0</v>
      </c>
      <c r="B265" s="259">
        <v>1111.0</v>
      </c>
      <c r="C265" s="260">
        <v>266.0</v>
      </c>
      <c r="D265" s="260">
        <f>IFERROR(__xludf.DUMMYFUNCTION("if(B265&lt;=999,if(B265&lt;=99,IF(B265&lt;=9,join(,""000"",B265),join(,""00"",B265)),join(,""0"",B265)),B265)"),1111.0)</f>
        <v>1111</v>
      </c>
      <c r="E265" s="263" t="str">
        <f>vlookup(B265,'Geotagging Master All-Training '!$A$2:$C$2474,2,false)</f>
        <v>#N/A</v>
      </c>
      <c r="F265" s="263" t="str">
        <f>vlookup(B265,'Geotagging Master All-Training '!$A$2:$C$2474,3,false)</f>
        <v>#N/A</v>
      </c>
      <c r="G265" s="265" t="s">
        <v>20</v>
      </c>
      <c r="H265" s="258"/>
    </row>
    <row r="266" hidden="1">
      <c r="A266" s="258">
        <v>637.0</v>
      </c>
      <c r="B266" s="258">
        <v>637.0</v>
      </c>
      <c r="C266" s="260">
        <v>267.0</v>
      </c>
      <c r="D266" s="260" t="str">
        <f>IFERROR(__xludf.DUMMYFUNCTION("if(B266&lt;=999,if(B266&lt;=99,IF(B266&lt;=9,join(,""000"",B266),join(,""00"",B266)),join(,""0"",B266)),B266)"),"0637")</f>
        <v>0637</v>
      </c>
      <c r="E266" s="263" t="str">
        <f>vlookup(B266,'Geotagging Master All-Training '!$A$2:$C$2474,2,false)</f>
        <v>#N/A</v>
      </c>
      <c r="F266" s="263" t="str">
        <f>vlookup(B266,'Geotagging Master All-Training '!$A$2:$C$2474,3,false)</f>
        <v>#N/A</v>
      </c>
      <c r="G266" s="265" t="s">
        <v>20</v>
      </c>
      <c r="H266" s="258"/>
    </row>
    <row r="267" hidden="1">
      <c r="A267" s="258">
        <v>218.0</v>
      </c>
      <c r="B267" s="258">
        <v>218.0</v>
      </c>
      <c r="C267" s="260">
        <v>268.0</v>
      </c>
      <c r="D267" s="260" t="str">
        <f>IFERROR(__xludf.DUMMYFUNCTION("if(B267&lt;=999,if(B267&lt;=99,IF(B267&lt;=9,join(,""000"",B267),join(,""00"",B267)),join(,""0"",B267)),B267)"),"0218")</f>
        <v>0218</v>
      </c>
      <c r="E267" s="263" t="str">
        <f>vlookup(B267,'Geotagging Master All-Training '!$A$2:$C$2474,2,false)</f>
        <v>#N/A</v>
      </c>
      <c r="F267" s="263" t="str">
        <f>vlookup(B267,'Geotagging Master All-Training '!$A$2:$C$2474,3,false)</f>
        <v>#N/A</v>
      </c>
      <c r="G267" s="265" t="s">
        <v>20</v>
      </c>
      <c r="H267" s="258"/>
    </row>
    <row r="268" hidden="1">
      <c r="A268" s="258">
        <v>1148.0</v>
      </c>
      <c r="B268" s="258">
        <v>1148.0</v>
      </c>
      <c r="C268" s="260">
        <v>269.0</v>
      </c>
      <c r="D268" s="260">
        <f>IFERROR(__xludf.DUMMYFUNCTION("if(B268&lt;=999,if(B268&lt;=99,IF(B268&lt;=9,join(,""000"",B268),join(,""00"",B268)),join(,""0"",B268)),B268)"),1148.0)</f>
        <v>1148</v>
      </c>
      <c r="E268" s="263" t="str">
        <f>vlookup(B268,'Geotagging Master All-Training '!$A$2:$C$2474,2,false)</f>
        <v>#N/A</v>
      </c>
      <c r="F268" s="263" t="str">
        <f>vlookup(B268,'Geotagging Master All-Training '!$A$2:$C$2474,3,false)</f>
        <v>#N/A</v>
      </c>
      <c r="G268" s="265" t="s">
        <v>20</v>
      </c>
      <c r="H268" s="258"/>
    </row>
    <row r="269" hidden="1">
      <c r="A269" s="258">
        <v>1090.0</v>
      </c>
      <c r="B269" s="258">
        <v>1090.0</v>
      </c>
      <c r="C269" s="260">
        <v>270.0</v>
      </c>
      <c r="D269" s="260">
        <f>IFERROR(__xludf.DUMMYFUNCTION("if(B269&lt;=999,if(B269&lt;=99,IF(B269&lt;=9,join(,""000"",B269),join(,""00"",B269)),join(,""0"",B269)),B269)"),1090.0)</f>
        <v>1090</v>
      </c>
      <c r="E269" s="263" t="str">
        <f>vlookup(B269,'Geotagging Master All-Training '!$A$2:$C$2474,2,false)</f>
        <v>#N/A</v>
      </c>
      <c r="F269" s="263" t="str">
        <f>vlookup(B269,'Geotagging Master All-Training '!$A$2:$C$2474,3,false)</f>
        <v>#N/A</v>
      </c>
      <c r="G269" s="265" t="s">
        <v>20</v>
      </c>
      <c r="H269" s="258"/>
    </row>
    <row r="270" hidden="1">
      <c r="A270" s="258">
        <v>1121.0</v>
      </c>
      <c r="B270" s="258">
        <v>1121.0</v>
      </c>
      <c r="C270" s="260">
        <v>271.0</v>
      </c>
      <c r="D270" s="260">
        <f>IFERROR(__xludf.DUMMYFUNCTION("if(B270&lt;=999,if(B270&lt;=99,IF(B270&lt;=9,join(,""000"",B270),join(,""00"",B270)),join(,""0"",B270)),B270)"),1121.0)</f>
        <v>1121</v>
      </c>
      <c r="E270" s="263" t="str">
        <f>vlookup(B270,'Geotagging Master All-Training '!$A$2:$C$2474,2,false)</f>
        <v>#N/A</v>
      </c>
      <c r="F270" s="263" t="str">
        <f>vlookup(B270,'Geotagging Master All-Training '!$A$2:$C$2474,3,false)</f>
        <v>#N/A</v>
      </c>
      <c r="G270" s="265" t="s">
        <v>20</v>
      </c>
      <c r="H270" s="258"/>
    </row>
    <row r="271" hidden="1">
      <c r="A271" s="258">
        <v>61.0</v>
      </c>
      <c r="B271" s="259">
        <v>61.0</v>
      </c>
      <c r="C271" s="260">
        <v>272.0</v>
      </c>
      <c r="D271" s="260" t="str">
        <f>IFERROR(__xludf.DUMMYFUNCTION("if(B271&lt;=999,if(B271&lt;=99,IF(B271&lt;=9,join(,""000"",B271),join(,""00"",B271)),join(,""0"",B271)),B271)"),"0061")</f>
        <v>0061</v>
      </c>
      <c r="E271" s="263" t="str">
        <f>vlookup(B271,'Geotagging Master All-Training '!$A$2:$C$2474,2,false)</f>
        <v>#N/A</v>
      </c>
      <c r="F271" s="263" t="str">
        <f>vlookup(B271,'Geotagging Master All-Training '!$A$2:$C$2474,3,false)</f>
        <v>#N/A</v>
      </c>
      <c r="G271" s="265" t="s">
        <v>20</v>
      </c>
      <c r="H271" s="258"/>
    </row>
    <row r="272" hidden="1">
      <c r="A272" s="272">
        <v>814.0</v>
      </c>
      <c r="B272" s="272">
        <v>814.0</v>
      </c>
      <c r="C272" s="260">
        <v>273.0</v>
      </c>
      <c r="D272" s="273" t="str">
        <f>IFERROR(__xludf.DUMMYFUNCTION("if(B272&lt;=999,if(B272&lt;=99,IF(B272&lt;=9,join(,""000"",B272),join(,""00"",B272)),join(,""0"",B272)),B272)"),"0814")</f>
        <v>0814</v>
      </c>
      <c r="E272" s="263" t="str">
        <f>vlookup(B272,'Geotagging Master All-Training '!$A$2:$C$2474,2,false)</f>
        <v>#N/A</v>
      </c>
      <c r="F272" s="263" t="str">
        <f>vlookup(B272,'Geotagging Master All-Training '!$A$2:$C$2474,3,false)</f>
        <v>#N/A</v>
      </c>
      <c r="G272" s="276" t="s">
        <v>20</v>
      </c>
      <c r="H272" s="272"/>
    </row>
    <row r="273" hidden="1">
      <c r="A273" s="272">
        <v>1192.0</v>
      </c>
      <c r="B273" s="272">
        <v>1192.0</v>
      </c>
      <c r="C273" s="260">
        <v>274.0</v>
      </c>
      <c r="D273" s="273">
        <f>IFERROR(__xludf.DUMMYFUNCTION("if(B273&lt;=999,if(B273&lt;=99,IF(B273&lt;=9,join(,""000"",B273),join(,""00"",B273)),join(,""0"",B273)),B273)"),1192.0)</f>
        <v>1192</v>
      </c>
      <c r="E273" s="263" t="str">
        <f>vlookup(B273,'Geotagging Master All-Training '!$A$2:$C$2474,2,false)</f>
        <v>#N/A</v>
      </c>
      <c r="F273" s="263" t="str">
        <f>vlookup(B273,'Geotagging Master All-Training '!$A$2:$C$2474,3,false)</f>
        <v>#N/A</v>
      </c>
      <c r="G273" s="276" t="s">
        <v>20</v>
      </c>
      <c r="H273" s="272"/>
    </row>
    <row r="274" hidden="1">
      <c r="A274" s="258">
        <v>1435.0</v>
      </c>
      <c r="B274" s="258">
        <v>1435.0</v>
      </c>
      <c r="C274" s="260">
        <v>275.0</v>
      </c>
      <c r="D274" s="260">
        <f>IFERROR(__xludf.DUMMYFUNCTION("if(B274&lt;=999,if(B274&lt;=99,IF(B274&lt;=9,join(,""000"",B274),join(,""00"",B274)),join(,""0"",B274)),B274)"),1435.0)</f>
        <v>1435</v>
      </c>
      <c r="E274" s="263" t="str">
        <f>vlookup(B274,'Geotagging Master All-Training '!$A$2:$C$2474,2,false)</f>
        <v>#N/A</v>
      </c>
      <c r="F274" s="263" t="str">
        <f>vlookup(B274,'Geotagging Master All-Training '!$A$2:$C$2474,3,false)</f>
        <v>#N/A</v>
      </c>
      <c r="G274" s="265" t="s">
        <v>20</v>
      </c>
      <c r="H274" s="258"/>
    </row>
    <row r="275" hidden="1">
      <c r="A275" s="258">
        <v>341.0</v>
      </c>
      <c r="B275" s="259">
        <v>341.0</v>
      </c>
      <c r="C275" s="260">
        <v>276.0</v>
      </c>
      <c r="D275" s="260" t="str">
        <f>IFERROR(__xludf.DUMMYFUNCTION("if(B275&lt;=999,if(B275&lt;=99,IF(B275&lt;=9,join(,""000"",B275),join(,""00"",B275)),join(,""0"",B275)),B275)"),"0341")</f>
        <v>0341</v>
      </c>
      <c r="E275" s="263" t="str">
        <f>vlookup(B275,'Geotagging Master All-Training '!$A$2:$C$2474,2,false)</f>
        <v>#N/A</v>
      </c>
      <c r="F275" s="263" t="str">
        <f>vlookup(B275,'Geotagging Master All-Training '!$A$2:$C$2474,3,false)</f>
        <v>#N/A</v>
      </c>
      <c r="G275" s="265" t="s">
        <v>20</v>
      </c>
      <c r="H275" s="258"/>
    </row>
    <row r="276" hidden="1">
      <c r="A276" s="258">
        <v>1362.0</v>
      </c>
      <c r="B276" s="259">
        <v>1362.0</v>
      </c>
      <c r="C276" s="260">
        <v>277.0</v>
      </c>
      <c r="D276" s="260">
        <f>IFERROR(__xludf.DUMMYFUNCTION("if(B276&lt;=999,if(B276&lt;=99,IF(B276&lt;=9,join(,""000"",B276),join(,""00"",B276)),join(,""0"",B276)),B276)"),1362.0)</f>
        <v>1362</v>
      </c>
      <c r="E276" s="263" t="str">
        <f>vlookup(B276,'Geotagging Master All-Training '!$A$2:$C$2474,2,false)</f>
        <v>#N/A</v>
      </c>
      <c r="F276" s="263" t="str">
        <f>vlookup(B276,'Geotagging Master All-Training '!$A$2:$C$2474,3,false)</f>
        <v>#N/A</v>
      </c>
      <c r="G276" s="265" t="s">
        <v>20</v>
      </c>
      <c r="H276" s="258"/>
    </row>
    <row r="277" hidden="1">
      <c r="A277" s="258">
        <v>1015.0</v>
      </c>
      <c r="B277" s="258">
        <v>1015.0</v>
      </c>
      <c r="C277" s="260">
        <v>278.0</v>
      </c>
      <c r="D277" s="260">
        <f>IFERROR(__xludf.DUMMYFUNCTION("if(B277&lt;=999,if(B277&lt;=99,IF(B277&lt;=9,join(,""000"",B277),join(,""00"",B277)),join(,""0"",B277)),B277)"),1015.0)</f>
        <v>1015</v>
      </c>
      <c r="E277" s="263" t="str">
        <f>vlookup(B277,'Geotagging Master All-Training '!$A$2:$C$2474,2,false)</f>
        <v>#N/A</v>
      </c>
      <c r="F277" s="263" t="str">
        <f>vlookup(B277,'Geotagging Master All-Training '!$A$2:$C$2474,3,false)</f>
        <v>#N/A</v>
      </c>
      <c r="G277" s="265" t="s">
        <v>20</v>
      </c>
      <c r="H277" s="258"/>
    </row>
    <row r="278" hidden="1">
      <c r="A278" s="258">
        <v>6.0</v>
      </c>
      <c r="B278" s="258">
        <v>6.0</v>
      </c>
      <c r="C278" s="273">
        <v>22.0</v>
      </c>
      <c r="D278" s="260" t="str">
        <f>IFERROR(__xludf.DUMMYFUNCTION("if(B278&lt;=999,if(B278&lt;=99,IF(B278&lt;=9,join(,""000"",B278),join(,""00"",B278)),join(,""0"",B278)),B278)"),"0006")</f>
        <v>0006</v>
      </c>
      <c r="E278" s="263" t="str">
        <f>vlookup(B278,'Geotagging Master All-Training '!$A$2:$C$2474,2,false)</f>
        <v>#N/A</v>
      </c>
      <c r="F278" s="263" t="str">
        <f>vlookup(B278,'Geotagging Master All-Training '!$A$2:$C$2474,3,false)</f>
        <v>#N/A</v>
      </c>
      <c r="G278" s="265" t="s">
        <v>35</v>
      </c>
      <c r="H278" s="258"/>
    </row>
    <row r="279" hidden="1">
      <c r="A279" s="272">
        <v>683.0</v>
      </c>
      <c r="B279" s="272">
        <v>683.0</v>
      </c>
      <c r="C279" s="260">
        <v>280.0</v>
      </c>
      <c r="D279" s="273" t="str">
        <f>IFERROR(__xludf.DUMMYFUNCTION("if(B279&lt;=999,if(B279&lt;=99,IF(B279&lt;=9,join(,""000"",B279),join(,""00"",B279)),join(,""0"",B279)),B279)"),"0683")</f>
        <v>0683</v>
      </c>
      <c r="E279" s="263" t="str">
        <f>vlookup(B279,'Geotagging Master All-Training '!$A$2:$C$2474,2,false)</f>
        <v>#N/A</v>
      </c>
      <c r="F279" s="263" t="str">
        <f>vlookup(B279,'Geotagging Master All-Training '!$A$2:$C$2474,3,false)</f>
        <v>#N/A</v>
      </c>
      <c r="G279" s="276" t="s">
        <v>20</v>
      </c>
      <c r="H279" s="272"/>
    </row>
    <row r="280" hidden="1">
      <c r="A280" s="258">
        <v>34.0</v>
      </c>
      <c r="B280" s="259">
        <v>34.0</v>
      </c>
      <c r="C280" s="260">
        <v>281.0</v>
      </c>
      <c r="D280" s="260" t="str">
        <f>IFERROR(__xludf.DUMMYFUNCTION("if(B280&lt;=999,if(B280&lt;=99,IF(B280&lt;=9,join(,""000"",B280),join(,""00"",B280)),join(,""0"",B280)),B280)"),"0034")</f>
        <v>0034</v>
      </c>
      <c r="E280" s="263" t="str">
        <f>vlookup(B280,'Geotagging Master All-Training '!$A$2:$C$2474,2,false)</f>
        <v>#N/A</v>
      </c>
      <c r="F280" s="263" t="str">
        <f>vlookup(B280,'Geotagging Master All-Training '!$A$2:$C$2474,3,false)</f>
        <v>#N/A</v>
      </c>
      <c r="G280" s="265" t="s">
        <v>20</v>
      </c>
      <c r="H280" s="258"/>
    </row>
    <row r="281" hidden="1">
      <c r="A281" s="258">
        <v>914.0</v>
      </c>
      <c r="B281" s="258">
        <v>914.0</v>
      </c>
      <c r="C281" s="260">
        <v>282.0</v>
      </c>
      <c r="D281" s="260" t="str">
        <f>IFERROR(__xludf.DUMMYFUNCTION("if(B281&lt;=999,if(B281&lt;=99,IF(B281&lt;=9,join(,""000"",B281),join(,""00"",B281)),join(,""0"",B281)),B281)"),"0914")</f>
        <v>0914</v>
      </c>
      <c r="E281" s="263" t="str">
        <f>vlookup(B281,'Geotagging Master All-Training '!$A$2:$C$2474,2,false)</f>
        <v>#N/A</v>
      </c>
      <c r="F281" s="263" t="str">
        <f>vlookup(B281,'Geotagging Master All-Training '!$A$2:$C$2474,3,false)</f>
        <v>#N/A</v>
      </c>
      <c r="G281" s="265" t="s">
        <v>20</v>
      </c>
      <c r="H281" s="258"/>
    </row>
    <row r="282" hidden="1">
      <c r="A282" s="258">
        <v>241.0</v>
      </c>
      <c r="B282" s="258">
        <v>241.0</v>
      </c>
      <c r="C282" s="260">
        <v>283.0</v>
      </c>
      <c r="D282" s="260" t="str">
        <f>IFERROR(__xludf.DUMMYFUNCTION("if(B282&lt;=999,if(B282&lt;=99,IF(B282&lt;=9,join(,""000"",B282),join(,""00"",B282)),join(,""0"",B282)),B282)"),"0241")</f>
        <v>0241</v>
      </c>
      <c r="E282" s="263" t="str">
        <f>vlookup(B282,'Geotagging Master All-Training '!$A$2:$C$2474,2,false)</f>
        <v>#N/A</v>
      </c>
      <c r="F282" s="263" t="str">
        <f>vlookup(B282,'Geotagging Master All-Training '!$A$2:$C$2474,3,false)</f>
        <v>#N/A</v>
      </c>
      <c r="G282" s="265" t="s">
        <v>20</v>
      </c>
      <c r="H282" s="258"/>
    </row>
    <row r="283" hidden="1">
      <c r="A283" s="258">
        <v>495.0</v>
      </c>
      <c r="B283" s="258">
        <v>495.0</v>
      </c>
      <c r="C283" s="260">
        <v>284.0</v>
      </c>
      <c r="D283" s="260" t="str">
        <f>IFERROR(__xludf.DUMMYFUNCTION("if(B283&lt;=999,if(B283&lt;=99,IF(B283&lt;=9,join(,""000"",B283),join(,""00"",B283)),join(,""0"",B283)),B283)"),"0495")</f>
        <v>0495</v>
      </c>
      <c r="E283" s="263" t="str">
        <f>vlookup(B283,'Geotagging Master All-Training '!$A$2:$C$2474,2,false)</f>
        <v>#N/A</v>
      </c>
      <c r="F283" s="263" t="str">
        <f>vlookup(B283,'Geotagging Master All-Training '!$A$2:$C$2474,3,false)</f>
        <v>#N/A</v>
      </c>
      <c r="G283" s="265" t="s">
        <v>20</v>
      </c>
      <c r="H283" s="258"/>
    </row>
    <row r="284" hidden="1">
      <c r="A284" s="258">
        <v>79.0</v>
      </c>
      <c r="B284" s="258">
        <v>79.0</v>
      </c>
      <c r="C284" s="260">
        <v>285.0</v>
      </c>
      <c r="D284" s="260" t="str">
        <f>IFERROR(__xludf.DUMMYFUNCTION("if(B284&lt;=999,if(B284&lt;=99,IF(B284&lt;=9,join(,""000"",B284),join(,""00"",B284)),join(,""0"",B284)),B284)"),"0079")</f>
        <v>0079</v>
      </c>
      <c r="E284" s="263" t="str">
        <f>vlookup(B284,'Geotagging Master All-Training '!$A$2:$C$2474,2,false)</f>
        <v>#N/A</v>
      </c>
      <c r="F284" s="263" t="str">
        <f>vlookup(B284,'Geotagging Master All-Training '!$A$2:$C$2474,3,false)</f>
        <v>#N/A</v>
      </c>
      <c r="G284" s="265" t="s">
        <v>20</v>
      </c>
      <c r="H284" s="258"/>
    </row>
    <row r="285" hidden="1">
      <c r="A285" s="258">
        <v>1226.0</v>
      </c>
      <c r="B285" s="258">
        <v>1226.0</v>
      </c>
      <c r="C285" s="260">
        <v>286.0</v>
      </c>
      <c r="D285" s="260">
        <f>IFERROR(__xludf.DUMMYFUNCTION("if(B285&lt;=999,if(B285&lt;=99,IF(B285&lt;=9,join(,""000"",B285),join(,""00"",B285)),join(,""0"",B285)),B285)"),1226.0)</f>
        <v>1226</v>
      </c>
      <c r="E285" s="263" t="str">
        <f>vlookup(B285,'Geotagging Master All-Training '!$A$2:$C$2474,2,false)</f>
        <v>#N/A</v>
      </c>
      <c r="F285" s="263" t="str">
        <f>vlookup(B285,'Geotagging Master All-Training '!$A$2:$C$2474,3,false)</f>
        <v>#N/A</v>
      </c>
      <c r="G285" s="265" t="s">
        <v>20</v>
      </c>
      <c r="H285" s="258"/>
    </row>
    <row r="286" hidden="1">
      <c r="A286" s="258">
        <v>1347.0</v>
      </c>
      <c r="B286" s="259">
        <v>1347.0</v>
      </c>
      <c r="C286" s="260">
        <v>287.0</v>
      </c>
      <c r="D286" s="260">
        <v>1347.0</v>
      </c>
      <c r="E286" s="263" t="str">
        <f>vlookup(B286,'Geotagging Master All-Training '!$A$2:$C$2474,2,false)</f>
        <v>#N/A</v>
      </c>
      <c r="F286" s="263" t="str">
        <f>vlookup(B286,'Geotagging Master All-Training '!$A$2:$C$2474,3,false)</f>
        <v>#N/A</v>
      </c>
      <c r="G286" s="265" t="s">
        <v>20</v>
      </c>
      <c r="H286" s="258"/>
    </row>
    <row r="287" hidden="1">
      <c r="A287" s="258">
        <v>759.0</v>
      </c>
      <c r="B287" s="258">
        <v>759.0</v>
      </c>
      <c r="C287" s="260">
        <v>288.0</v>
      </c>
      <c r="D287" s="260" t="str">
        <f>IFERROR(__xludf.DUMMYFUNCTION("if(B287&lt;=999,if(B287&lt;=99,IF(B287&lt;=9,join(,""000"",B287),join(,""00"",B287)),join(,""0"",B287)),B287)"),"0759")</f>
        <v>0759</v>
      </c>
      <c r="E287" s="263" t="str">
        <f>vlookup(B287,'Geotagging Master All-Training '!$A$2:$C$2474,2,false)</f>
        <v>#N/A</v>
      </c>
      <c r="F287" s="263" t="str">
        <f>vlookup(B287,'Geotagging Master All-Training '!$A$2:$C$2474,3,false)</f>
        <v>#N/A</v>
      </c>
      <c r="G287" s="265" t="s">
        <v>20</v>
      </c>
      <c r="H287" s="258"/>
    </row>
    <row r="288" hidden="1">
      <c r="A288" s="258">
        <v>63.0</v>
      </c>
      <c r="B288" s="259">
        <v>63.0</v>
      </c>
      <c r="C288" s="260">
        <v>289.0</v>
      </c>
      <c r="D288" s="260" t="str">
        <f>IFERROR(__xludf.DUMMYFUNCTION("if(B288&lt;=999,if(B288&lt;=99,IF(B288&lt;=9,join(,""000"",B288),join(,""00"",B288)),join(,""0"",B288)),B288)"),"0063")</f>
        <v>0063</v>
      </c>
      <c r="E288" s="263" t="str">
        <f>vlookup(B288,'Geotagging Master All-Training '!$A$2:$C$2474,2,false)</f>
        <v>#N/A</v>
      </c>
      <c r="F288" s="263" t="str">
        <f>vlookup(B288,'Geotagging Master All-Training '!$A$2:$C$2474,3,false)</f>
        <v>#N/A</v>
      </c>
      <c r="G288" s="265" t="s">
        <v>20</v>
      </c>
      <c r="H288" s="258"/>
    </row>
    <row r="289" hidden="1">
      <c r="A289" s="258">
        <v>1047.0</v>
      </c>
      <c r="B289" s="258">
        <v>1047.0</v>
      </c>
      <c r="C289" s="260">
        <v>291.0</v>
      </c>
      <c r="D289" s="260">
        <f>IFERROR(__xludf.DUMMYFUNCTION("if(B289&lt;=999,if(B289&lt;=99,IF(B289&lt;=9,join(,""000"",B289),join(,""00"",B289)),join(,""0"",B289)),B289)"),1047.0)</f>
        <v>1047</v>
      </c>
      <c r="E289" s="263" t="str">
        <f>vlookup(B289,'Geotagging Master All-Training '!$A$2:$C$2474,2,false)</f>
        <v>#N/A</v>
      </c>
      <c r="F289" s="263" t="str">
        <f>vlookup(B289,'Geotagging Master All-Training '!$A$2:$C$2474,3,false)</f>
        <v>#N/A</v>
      </c>
      <c r="G289" s="265" t="s">
        <v>20</v>
      </c>
      <c r="H289" s="258"/>
    </row>
    <row r="290" hidden="1">
      <c r="A290" s="258">
        <v>247.0</v>
      </c>
      <c r="B290" s="258">
        <v>247.0</v>
      </c>
      <c r="C290" s="260">
        <v>292.0</v>
      </c>
      <c r="D290" s="260" t="str">
        <f>IFERROR(__xludf.DUMMYFUNCTION("if(B290&lt;=999,if(B290&lt;=99,IF(B290&lt;=9,join(,""000"",B290),join(,""00"",B290)),join(,""0"",B290)),B290)"),"0247")</f>
        <v>0247</v>
      </c>
      <c r="E290" s="263" t="str">
        <f>vlookup(B290,'Geotagging Master All-Training '!$A$2:$C$2474,2,false)</f>
        <v>#N/A</v>
      </c>
      <c r="F290" s="263" t="str">
        <f>vlookup(B290,'Geotagging Master All-Training '!$A$2:$C$2474,3,false)</f>
        <v>#N/A</v>
      </c>
      <c r="G290" s="265" t="s">
        <v>20</v>
      </c>
      <c r="H290" s="258"/>
    </row>
    <row r="291" hidden="1">
      <c r="A291" s="258">
        <v>75.0</v>
      </c>
      <c r="B291" s="258">
        <v>75.0</v>
      </c>
      <c r="C291" s="260">
        <v>293.0</v>
      </c>
      <c r="D291" s="260" t="str">
        <f>IFERROR(__xludf.DUMMYFUNCTION("if(B291&lt;=999,if(B291&lt;=99,IF(B291&lt;=9,join(,""000"",B291),join(,""00"",B291)),join(,""0"",B291)),B291)"),"0075")</f>
        <v>0075</v>
      </c>
      <c r="E291" s="263" t="str">
        <f>vlookup(B291,'Geotagging Master All-Training '!$A$2:$C$2474,2,false)</f>
        <v>#N/A</v>
      </c>
      <c r="F291" s="263" t="str">
        <f>vlookup(B291,'Geotagging Master All-Training '!$A$2:$C$2474,3,false)</f>
        <v>#N/A</v>
      </c>
      <c r="G291" s="265" t="s">
        <v>20</v>
      </c>
      <c r="H291" s="258"/>
    </row>
    <row r="292" hidden="1">
      <c r="A292" s="258">
        <v>312.0</v>
      </c>
      <c r="B292" s="258">
        <v>312.0</v>
      </c>
      <c r="C292" s="260">
        <v>294.0</v>
      </c>
      <c r="D292" s="260" t="str">
        <f>IFERROR(__xludf.DUMMYFUNCTION("if(B292&lt;=999,if(B292&lt;=99,IF(B292&lt;=9,join(,""000"",B292),join(,""00"",B292)),join(,""0"",B292)),B292)"),"0312")</f>
        <v>0312</v>
      </c>
      <c r="E292" s="263" t="str">
        <f>vlookup(B292,'Geotagging Master All-Training '!$A$2:$C$2474,2,false)</f>
        <v>#N/A</v>
      </c>
      <c r="F292" s="263" t="str">
        <f>vlookup(B292,'Geotagging Master All-Training '!$A$2:$C$2474,3,false)</f>
        <v>#N/A</v>
      </c>
      <c r="G292" s="265" t="s">
        <v>20</v>
      </c>
      <c r="H292" s="258"/>
    </row>
    <row r="293" hidden="1">
      <c r="A293" s="272">
        <v>1312.0</v>
      </c>
      <c r="B293" s="272">
        <v>1312.0</v>
      </c>
      <c r="C293" s="260">
        <v>295.0</v>
      </c>
      <c r="D293" s="273">
        <f>IFERROR(__xludf.DUMMYFUNCTION("if(B293&lt;=999,if(B293&lt;=99,IF(B293&lt;=9,join(,""000"",B293),join(,""00"",B293)),join(,""0"",B293)),B293)"),1312.0)</f>
        <v>1312</v>
      </c>
      <c r="E293" s="263" t="str">
        <f>vlookup(B293,'Geotagging Master All-Training '!$A$2:$C$2474,2,false)</f>
        <v>#N/A</v>
      </c>
      <c r="F293" s="263" t="str">
        <f>vlookup(B293,'Geotagging Master All-Training '!$A$2:$C$2474,3,false)</f>
        <v>#N/A</v>
      </c>
      <c r="G293" s="276" t="s">
        <v>20</v>
      </c>
      <c r="H293" s="272"/>
    </row>
    <row r="294" hidden="1">
      <c r="A294" s="258">
        <v>809.0</v>
      </c>
      <c r="B294" s="259">
        <v>809.0</v>
      </c>
      <c r="C294" s="260">
        <v>296.0</v>
      </c>
      <c r="D294" s="260" t="str">
        <f>IFERROR(__xludf.DUMMYFUNCTION("if(B294&lt;=999,if(B294&lt;=99,IF(B294&lt;=9,join(,""000"",B294),join(,""00"",B294)),join(,""0"",B294)),B294)"),"0809")</f>
        <v>0809</v>
      </c>
      <c r="E294" s="263" t="str">
        <f>vlookup(B294,'Geotagging Master All-Training '!$A$2:$C$2474,2,false)</f>
        <v>#N/A</v>
      </c>
      <c r="F294" s="263" t="str">
        <f>vlookup(B294,'Geotagging Master All-Training '!$A$2:$C$2474,3,false)</f>
        <v>#N/A</v>
      </c>
      <c r="G294" s="265" t="s">
        <v>20</v>
      </c>
      <c r="H294" s="258"/>
    </row>
    <row r="295" hidden="1">
      <c r="A295" s="272">
        <v>797.0</v>
      </c>
      <c r="B295" s="272">
        <v>797.0</v>
      </c>
      <c r="C295" s="273">
        <v>309.0</v>
      </c>
      <c r="D295" s="273" t="str">
        <f>IFERROR(__xludf.DUMMYFUNCTION("if(B295&lt;=999,if(B295&lt;=99,IF(B295&lt;=9,join(,""000"",B295),join(,""00"",B295)),join(,""0"",B295)),B295)"),"0797")</f>
        <v>0797</v>
      </c>
      <c r="E295" s="303" t="str">
        <f>vlookup(B295,'Geotagging Master All-Training '!$A$2:$C$2474,2,false)</f>
        <v>#N/A</v>
      </c>
      <c r="F295" s="303" t="str">
        <f>vlookup(B295,'Geotagging Master All-Training '!$A$2:$C$2474,3,false)</f>
        <v>#N/A</v>
      </c>
      <c r="G295" s="276" t="s">
        <v>20</v>
      </c>
      <c r="H295" s="272"/>
    </row>
    <row r="296" hidden="1">
      <c r="A296" s="258">
        <v>1300.0</v>
      </c>
      <c r="B296" s="259">
        <v>1300.0</v>
      </c>
      <c r="C296" s="260">
        <v>298.0</v>
      </c>
      <c r="D296" s="260">
        <f>IFERROR(__xludf.DUMMYFUNCTION("if(B296&lt;=999,if(B296&lt;=99,IF(B296&lt;=9,join(,""000"",B296),join(,""00"",B296)),join(,""0"",B296)),B296)"),1300.0)</f>
        <v>1300</v>
      </c>
      <c r="E296" s="263" t="str">
        <f>vlookup(B296,'Geotagging Master All-Training '!$A$2:$C$2474,2,false)</f>
        <v>#N/A</v>
      </c>
      <c r="F296" s="263" t="str">
        <f>vlookup(B296,'Geotagging Master All-Training '!$A$2:$C$2474,3,false)</f>
        <v>#N/A</v>
      </c>
      <c r="G296" s="265" t="s">
        <v>20</v>
      </c>
      <c r="H296" s="258"/>
    </row>
    <row r="297" hidden="1">
      <c r="A297" s="258">
        <v>1219.0</v>
      </c>
      <c r="B297" s="258">
        <v>1219.0</v>
      </c>
      <c r="C297" s="260">
        <v>299.0</v>
      </c>
      <c r="D297" s="260">
        <f>IFERROR(__xludf.DUMMYFUNCTION("if(B297&lt;=999,if(B297&lt;=99,IF(B297&lt;=9,join(,""000"",B297),join(,""00"",B297)),join(,""0"",B297)),B297)"),1219.0)</f>
        <v>1219</v>
      </c>
      <c r="E297" s="263" t="str">
        <f>vlookup(B297,'Geotagging Master All-Training '!$A$2:$C$2474,2,false)</f>
        <v>#N/A</v>
      </c>
      <c r="F297" s="263" t="str">
        <f>vlookup(B297,'Geotagging Master All-Training '!$A$2:$C$2474,3,false)</f>
        <v>#N/A</v>
      </c>
      <c r="G297" s="265" t="s">
        <v>20</v>
      </c>
      <c r="H297" s="258"/>
    </row>
    <row r="298" hidden="1">
      <c r="A298" s="258">
        <v>1139.0</v>
      </c>
      <c r="B298" s="258">
        <v>1139.0</v>
      </c>
      <c r="C298" s="260">
        <v>300.0</v>
      </c>
      <c r="D298" s="260">
        <f>IFERROR(__xludf.DUMMYFUNCTION("if(B298&lt;=999,if(B298&lt;=99,IF(B298&lt;=9,join(,""000"",B298),join(,""00"",B298)),join(,""0"",B298)),B298)"),1139.0)</f>
        <v>1139</v>
      </c>
      <c r="E298" s="263" t="str">
        <f>vlookup(B298,'Geotagging Master All-Training '!$A$2:$C$2474,2,false)</f>
        <v>#N/A</v>
      </c>
      <c r="F298" s="263" t="str">
        <f>vlookup(B298,'Geotagging Master All-Training '!$A$2:$C$2474,3,false)</f>
        <v>#N/A</v>
      </c>
      <c r="G298" s="265" t="s">
        <v>20</v>
      </c>
      <c r="H298" s="258"/>
    </row>
    <row r="299" hidden="1">
      <c r="A299" s="272">
        <v>784.0</v>
      </c>
      <c r="B299" s="272">
        <v>784.0</v>
      </c>
      <c r="C299" s="260">
        <v>301.0</v>
      </c>
      <c r="D299" s="273" t="str">
        <f>IFERROR(__xludf.DUMMYFUNCTION("if(B299&lt;=999,if(B299&lt;=99,IF(B299&lt;=9,join(,""000"",B299),join(,""00"",B299)),join(,""0"",B299)),B299)"),"0784")</f>
        <v>0784</v>
      </c>
      <c r="E299" s="263" t="str">
        <f>vlookup(B299,'Geotagging Master All-Training '!$A$2:$C$2474,2,false)</f>
        <v>#N/A</v>
      </c>
      <c r="F299" s="263" t="str">
        <f>vlookup(B299,'Geotagging Master All-Training '!$A$2:$C$2474,3,false)</f>
        <v>#N/A</v>
      </c>
      <c r="G299" s="276" t="s">
        <v>20</v>
      </c>
      <c r="H299" s="272"/>
    </row>
    <row r="300" hidden="1">
      <c r="A300" s="258">
        <v>1306.0</v>
      </c>
      <c r="B300" s="259">
        <v>1306.0</v>
      </c>
      <c r="C300" s="260">
        <v>302.0</v>
      </c>
      <c r="D300" s="260">
        <f>IFERROR(__xludf.DUMMYFUNCTION("if(B300&lt;=999,if(B300&lt;=99,IF(B300&lt;=9,join(,""000"",B300),join(,""00"",B300)),join(,""0"",B300)),B300)"),1306.0)</f>
        <v>1306</v>
      </c>
      <c r="E300" s="263" t="str">
        <f>vlookup(B300,'Geotagging Master All-Training '!$A$2:$C$2474,2,false)</f>
        <v>#N/A</v>
      </c>
      <c r="F300" s="263" t="str">
        <f>vlookup(B300,'Geotagging Master All-Training '!$A$2:$C$2474,3,false)</f>
        <v>#N/A</v>
      </c>
      <c r="G300" s="265" t="s">
        <v>20</v>
      </c>
      <c r="H300" s="258"/>
    </row>
    <row r="301" hidden="1">
      <c r="A301" s="258">
        <v>1218.0</v>
      </c>
      <c r="B301" s="258">
        <v>1218.0</v>
      </c>
      <c r="C301" s="260">
        <v>303.0</v>
      </c>
      <c r="D301" s="260">
        <f>IFERROR(__xludf.DUMMYFUNCTION("if(B301&lt;=999,if(B301&lt;=99,IF(B301&lt;=9,join(,""000"",B301),join(,""00"",B301)),join(,""0"",B301)),B301)"),1218.0)</f>
        <v>1218</v>
      </c>
      <c r="E301" s="263" t="str">
        <f>vlookup(B301,'Geotagging Master All-Training '!$A$2:$C$2474,2,false)</f>
        <v>#N/A</v>
      </c>
      <c r="F301" s="263" t="str">
        <f>vlookup(B301,'Geotagging Master All-Training '!$A$2:$C$2474,3,false)</f>
        <v>#N/A</v>
      </c>
      <c r="G301" s="265" t="s">
        <v>20</v>
      </c>
      <c r="H301" s="258"/>
    </row>
    <row r="302" ht="18.75" hidden="1" customHeight="1">
      <c r="A302" s="258">
        <v>16.0</v>
      </c>
      <c r="B302" s="258">
        <v>16.0</v>
      </c>
      <c r="C302" s="260">
        <v>304.0</v>
      </c>
      <c r="D302" s="260" t="str">
        <f>IFERROR(__xludf.DUMMYFUNCTION("if(B302&lt;=999,if(B302&lt;=99,IF(B302&lt;=9,join(,""000"",B302),join(,""00"",B302)),join(,""0"",B302)),B302)"),"0016")</f>
        <v>0016</v>
      </c>
      <c r="E302" s="263" t="str">
        <f>vlookup(B302,'Geotagging Master All-Training '!$A$2:$C$2474,2,false)</f>
        <v>#N/A</v>
      </c>
      <c r="F302" s="263" t="str">
        <f>vlookup(B302,'Geotagging Master All-Training '!$A$2:$C$2474,3,false)</f>
        <v>#N/A</v>
      </c>
      <c r="G302" s="265" t="s">
        <v>20</v>
      </c>
      <c r="H302" s="258"/>
    </row>
    <row r="303" ht="19.5" hidden="1" customHeight="1">
      <c r="A303" s="258">
        <v>1646.0</v>
      </c>
      <c r="B303" s="258">
        <v>1646.0</v>
      </c>
      <c r="C303" s="260">
        <v>305.0</v>
      </c>
      <c r="D303" s="260">
        <f>IFERROR(__xludf.DUMMYFUNCTION("if(B303&lt;=999,if(B303&lt;=99,IF(B303&lt;=9,join(,""000"",B303),join(,""00"",B303)),join(,""0"",B303)),B303)"),1646.0)</f>
        <v>1646</v>
      </c>
      <c r="E303" s="263" t="str">
        <f>vlookup(B303,'Geotagging Master All-Training '!$A$2:$C$2474,2,false)</f>
        <v>#N/A</v>
      </c>
      <c r="F303" s="263" t="str">
        <f>vlookup(B303,'Geotagging Master All-Training '!$A$2:$C$2474,3,false)</f>
        <v>#N/A</v>
      </c>
      <c r="G303" s="265" t="s">
        <v>20</v>
      </c>
      <c r="H303" s="258"/>
    </row>
    <row r="304" hidden="1">
      <c r="A304" s="258">
        <v>1138.0</v>
      </c>
      <c r="B304" s="258">
        <v>1138.0</v>
      </c>
      <c r="C304" s="260">
        <v>306.0</v>
      </c>
      <c r="D304" s="260">
        <f>IFERROR(__xludf.DUMMYFUNCTION("if(B304&lt;=999,if(B304&lt;=99,IF(B304&lt;=9,join(,""000"",B304),join(,""00"",B304)),join(,""0"",B304)),B304)"),1138.0)</f>
        <v>1138</v>
      </c>
      <c r="E304" s="263" t="str">
        <f>vlookup(B304,'Geotagging Master All-Training '!$A$2:$C$2474,2,false)</f>
        <v>#N/A</v>
      </c>
      <c r="F304" s="263" t="str">
        <f>vlookup(B304,'Geotagging Master All-Training '!$A$2:$C$2474,3,false)</f>
        <v>#N/A</v>
      </c>
      <c r="G304" s="265" t="s">
        <v>20</v>
      </c>
      <c r="H304" s="258"/>
    </row>
    <row r="305" hidden="1">
      <c r="A305" s="258">
        <v>1109.0</v>
      </c>
      <c r="B305" s="258">
        <v>1109.0</v>
      </c>
      <c r="C305" s="260">
        <v>307.0</v>
      </c>
      <c r="D305" s="260">
        <f>IFERROR(__xludf.DUMMYFUNCTION("if(B305&lt;=999,if(B305&lt;=99,IF(B305&lt;=9,join(,""000"",B305),join(,""00"",B305)),join(,""0"",B305)),B305)"),1109.0)</f>
        <v>1109</v>
      </c>
      <c r="E305" s="263" t="str">
        <f>vlookup(B305,'Geotagging Master All-Training '!$A$2:$C$2474,2,false)</f>
        <v>#N/A</v>
      </c>
      <c r="F305" s="263" t="str">
        <f>vlookup(B305,'Geotagging Master All-Training '!$A$2:$C$2474,3,false)</f>
        <v>#N/A</v>
      </c>
      <c r="G305" s="265" t="s">
        <v>20</v>
      </c>
      <c r="H305" s="258"/>
    </row>
    <row r="306" hidden="1">
      <c r="A306" s="258">
        <v>1016.0</v>
      </c>
      <c r="B306" s="259">
        <v>1016.0</v>
      </c>
      <c r="C306" s="260">
        <v>308.0</v>
      </c>
      <c r="D306" s="260">
        <f>IFERROR(__xludf.DUMMYFUNCTION("if(B306&lt;=999,if(B306&lt;=99,IF(B306&lt;=9,join(,""000"",B306),join(,""00"",B306)),join(,""0"",B306)),B306)"),1016.0)</f>
        <v>1016</v>
      </c>
      <c r="E306" s="263" t="str">
        <f>vlookup(B306,'Geotagging Master All-Training '!$A$2:$C$2474,2,false)</f>
        <v>#N/A</v>
      </c>
      <c r="F306" s="263" t="str">
        <f>vlookup(B306,'Geotagging Master All-Training '!$A$2:$C$2474,3,false)</f>
        <v>#N/A</v>
      </c>
      <c r="G306" s="265" t="s">
        <v>20</v>
      </c>
      <c r="H306" s="258"/>
    </row>
    <row r="307" hidden="1">
      <c r="A307" s="272">
        <v>69.0</v>
      </c>
      <c r="B307" s="272">
        <v>69.0</v>
      </c>
      <c r="C307" s="273">
        <v>316.0</v>
      </c>
      <c r="D307" s="273" t="str">
        <f>IFERROR(__xludf.DUMMYFUNCTION("if(B307&lt;=999,if(B307&lt;=99,IF(B307&lt;=9,join(,""000"",B307),join(,""00"",B307)),join(,""0"",B307)),B307)"),"0069")</f>
        <v>0069</v>
      </c>
      <c r="E307" s="303" t="str">
        <f>vlookup(B307,'Geotagging Master All-Training '!$A$2:$C$2474,2,false)</f>
        <v>#N/A</v>
      </c>
      <c r="F307" s="303" t="str">
        <f>vlookup(B307,'Geotagging Master All-Training '!$A$2:$C$2474,3,false)</f>
        <v>#N/A</v>
      </c>
      <c r="G307" s="276" t="s">
        <v>20</v>
      </c>
      <c r="H307" s="272"/>
    </row>
    <row r="308" hidden="1">
      <c r="A308" s="272">
        <v>1269.0</v>
      </c>
      <c r="B308" s="272">
        <v>1269.0</v>
      </c>
      <c r="C308" s="260">
        <v>310.0</v>
      </c>
      <c r="D308" s="273">
        <f>IFERROR(__xludf.DUMMYFUNCTION("if(B308&lt;=999,if(B308&lt;=99,IF(B308&lt;=9,join(,""000"",B308),join(,""00"",B308)),join(,""0"",B308)),B308)"),1269.0)</f>
        <v>1269</v>
      </c>
      <c r="E308" s="263" t="str">
        <f>vlookup(B308,'Geotagging Master All-Training '!$A$2:$C$2474,2,false)</f>
        <v>#N/A</v>
      </c>
      <c r="F308" s="263" t="str">
        <f>vlookup(B308,'Geotagging Master All-Training '!$A$2:$C$2474,3,false)</f>
        <v>#N/A</v>
      </c>
      <c r="G308" s="276" t="s">
        <v>20</v>
      </c>
      <c r="H308" s="272"/>
    </row>
    <row r="309" hidden="1">
      <c r="A309" s="258">
        <v>1439.0</v>
      </c>
      <c r="B309" s="258">
        <v>1439.0</v>
      </c>
      <c r="C309" s="260">
        <v>311.0</v>
      </c>
      <c r="D309" s="260">
        <f>IFERROR(__xludf.DUMMYFUNCTION("if(B309&lt;=999,if(B309&lt;=99,IF(B309&lt;=9,join(,""000"",B309),join(,""00"",B309)),join(,""0"",B309)),B309)"),1439.0)</f>
        <v>1439</v>
      </c>
      <c r="E309" s="263" t="str">
        <f>vlookup(B309,'Geotagging Master All-Training '!$A$2:$C$2474,2,false)</f>
        <v>#N/A</v>
      </c>
      <c r="F309" s="263" t="str">
        <f>vlookup(B309,'Geotagging Master All-Training '!$A$2:$C$2474,3,false)</f>
        <v>#N/A</v>
      </c>
      <c r="G309" s="265" t="s">
        <v>20</v>
      </c>
      <c r="H309" s="258"/>
    </row>
    <row r="310" hidden="1">
      <c r="A310" s="258">
        <v>1100.0</v>
      </c>
      <c r="B310" s="258">
        <v>1100.0</v>
      </c>
      <c r="C310" s="260">
        <v>312.0</v>
      </c>
      <c r="D310" s="260">
        <f>IFERROR(__xludf.DUMMYFUNCTION("if(B310&lt;=999,if(B310&lt;=99,IF(B310&lt;=9,join(,""000"",B310),join(,""00"",B310)),join(,""0"",B310)),B310)"),1100.0)</f>
        <v>1100</v>
      </c>
      <c r="E310" s="263" t="str">
        <f>vlookup(B310,'Geotagging Master All-Training '!$A$2:$C$2474,2,false)</f>
        <v>#N/A</v>
      </c>
      <c r="F310" s="263" t="str">
        <f>vlookup(B310,'Geotagging Master All-Training '!$A$2:$C$2474,3,false)</f>
        <v>#N/A</v>
      </c>
      <c r="G310" s="265" t="s">
        <v>20</v>
      </c>
      <c r="H310" s="258"/>
    </row>
    <row r="311" hidden="1">
      <c r="A311" s="258">
        <v>1232.0</v>
      </c>
      <c r="B311" s="258">
        <v>1232.0</v>
      </c>
      <c r="C311" s="260">
        <v>313.0</v>
      </c>
      <c r="D311" s="260">
        <f>IFERROR(__xludf.DUMMYFUNCTION("if(B311&lt;=999,if(B311&lt;=99,IF(B311&lt;=9,join(,""000"",B311),join(,""00"",B311)),join(,""0"",B311)),B311)"),1232.0)</f>
        <v>1232</v>
      </c>
      <c r="E311" s="263" t="str">
        <f>vlookup(B311,'Geotagging Master All-Training '!$A$2:$C$2474,2,false)</f>
        <v>#N/A</v>
      </c>
      <c r="F311" s="263" t="str">
        <f>vlookup(B311,'Geotagging Master All-Training '!$A$2:$C$2474,3,false)</f>
        <v>#N/A</v>
      </c>
      <c r="G311" s="265" t="s">
        <v>20</v>
      </c>
      <c r="H311" s="258"/>
    </row>
    <row r="312" hidden="1">
      <c r="A312" s="272">
        <v>1361.0</v>
      </c>
      <c r="B312" s="272">
        <v>1361.0</v>
      </c>
      <c r="C312" s="260">
        <v>314.0</v>
      </c>
      <c r="D312" s="273">
        <f>IFERROR(__xludf.DUMMYFUNCTION("if(B312&lt;=999,if(B312&lt;=99,IF(B312&lt;=9,join(,""000"",B312),join(,""00"",B312)),join(,""0"",B312)),B312)"),1361.0)</f>
        <v>1361</v>
      </c>
      <c r="E312" s="263" t="str">
        <f>vlookup(B312,'Geotagging Master All-Training '!$A$2:$C$2474,2,false)</f>
        <v>#N/A</v>
      </c>
      <c r="F312" s="263" t="str">
        <f>vlookup(B312,'Geotagging Master All-Training '!$A$2:$C$2474,3,false)</f>
        <v>#N/A</v>
      </c>
      <c r="G312" s="276" t="s">
        <v>20</v>
      </c>
      <c r="H312" s="272"/>
    </row>
    <row r="313" hidden="1">
      <c r="A313" s="272">
        <v>1223.0</v>
      </c>
      <c r="B313" s="272">
        <v>1223.0</v>
      </c>
      <c r="C313" s="260">
        <v>315.0</v>
      </c>
      <c r="D313" s="273">
        <f>IFERROR(__xludf.DUMMYFUNCTION("if(B313&lt;=999,if(B313&lt;=99,IF(B313&lt;=9,join(,""000"",B313),join(,""00"",B313)),join(,""0"",B313)),B313)"),1223.0)</f>
        <v>1223</v>
      </c>
      <c r="E313" s="263" t="str">
        <f>vlookup(B313,'Geotagging Master All-Training '!$A$2:$C$2474,2,false)</f>
        <v>#N/A</v>
      </c>
      <c r="F313" s="263" t="str">
        <f>vlookup(B313,'Geotagging Master All-Training '!$A$2:$C$2474,3,false)</f>
        <v>#N/A</v>
      </c>
      <c r="G313" s="276" t="s">
        <v>20</v>
      </c>
      <c r="H313" s="272"/>
    </row>
    <row r="314" hidden="1">
      <c r="A314" s="258">
        <v>1431.0</v>
      </c>
      <c r="B314" s="258">
        <v>1431.0</v>
      </c>
      <c r="C314" s="260">
        <v>317.0</v>
      </c>
      <c r="D314" s="260">
        <f>IFERROR(__xludf.DUMMYFUNCTION("if(B314&lt;=999,if(B314&lt;=99,IF(B314&lt;=9,join(,""000"",B314),join(,""00"",B314)),join(,""0"",B314)),B314)"),1431.0)</f>
        <v>1431</v>
      </c>
      <c r="E314" s="263" t="str">
        <f>vlookup(B314,'Geotagging Master All-Training '!$A$2:$C$2474,2,false)</f>
        <v>#N/A</v>
      </c>
      <c r="F314" s="263" t="str">
        <f>vlookup(B314,'Geotagging Master All-Training '!$A$2:$C$2474,3,false)</f>
        <v>#N/A</v>
      </c>
      <c r="G314" s="265" t="s">
        <v>20</v>
      </c>
      <c r="H314" s="258"/>
    </row>
    <row r="315" hidden="1">
      <c r="A315" s="258">
        <v>1085.0</v>
      </c>
      <c r="B315" s="258">
        <v>1085.0</v>
      </c>
      <c r="C315" s="260">
        <v>318.0</v>
      </c>
      <c r="D315" s="260">
        <f>IFERROR(__xludf.DUMMYFUNCTION("if(B315&lt;=999,if(B315&lt;=99,IF(B315&lt;=9,join(,""000"",B315),join(,""00"",B315)),join(,""0"",B315)),B315)"),1085.0)</f>
        <v>1085</v>
      </c>
      <c r="E315" s="263" t="str">
        <f>vlookup(B315,'Geotagging Master All-Training '!$A$2:$C$2474,2,false)</f>
        <v>#N/A</v>
      </c>
      <c r="F315" s="263" t="str">
        <f>vlookup(B315,'Geotagging Master All-Training '!$A$2:$C$2474,3,false)</f>
        <v>#N/A</v>
      </c>
      <c r="G315" s="265" t="s">
        <v>20</v>
      </c>
      <c r="H315" s="258"/>
    </row>
    <row r="316" hidden="1">
      <c r="A316" s="258">
        <v>1052.0</v>
      </c>
      <c r="B316" s="258">
        <v>1052.0</v>
      </c>
      <c r="C316" s="260">
        <v>319.0</v>
      </c>
      <c r="D316" s="260">
        <f>IFERROR(__xludf.DUMMYFUNCTION("if(B316&lt;=999,if(B316&lt;=99,IF(B316&lt;=9,join(,""000"",B316),join(,""00"",B316)),join(,""0"",B316)),B316)"),1052.0)</f>
        <v>1052</v>
      </c>
      <c r="E316" s="263" t="str">
        <f>vlookup(B316,'Geotagging Master All-Training '!$A$2:$C$2474,2,false)</f>
        <v>#N/A</v>
      </c>
      <c r="F316" s="263" t="str">
        <f>vlookup(B316,'Geotagging Master All-Training '!$A$2:$C$2474,3,false)</f>
        <v>#N/A</v>
      </c>
      <c r="G316" s="265" t="s">
        <v>20</v>
      </c>
      <c r="H316" s="258"/>
    </row>
    <row r="317" hidden="1">
      <c r="A317" s="258">
        <v>512.0</v>
      </c>
      <c r="B317" s="259">
        <v>512.0</v>
      </c>
      <c r="C317" s="273">
        <v>25.0</v>
      </c>
      <c r="D317" s="260" t="str">
        <f>IFERROR(__xludf.DUMMYFUNCTION("if(B317&lt;=999,if(B317&lt;=99,IF(B317&lt;=9,join(,""000"",B317),join(,""00"",B317)),join(,""0"",B317)),B317)"),"0512")</f>
        <v>0512</v>
      </c>
      <c r="E317" s="263" t="str">
        <f>vlookup(B317,'Geotagging Master All-Training '!$A$2:$C$2474,2,false)</f>
        <v>#N/A</v>
      </c>
      <c r="F317" s="263" t="str">
        <f>vlookup(B317,'Geotagging Master All-Training '!$A$2:$C$2474,3,false)</f>
        <v>#N/A</v>
      </c>
      <c r="G317" s="265" t="s">
        <v>35</v>
      </c>
      <c r="H317" s="258"/>
    </row>
    <row r="318" hidden="1">
      <c r="A318" s="258">
        <v>1304.0</v>
      </c>
      <c r="B318" s="258">
        <v>1304.0</v>
      </c>
      <c r="C318" s="260">
        <v>321.0</v>
      </c>
      <c r="D318" s="260">
        <f>IFERROR(__xludf.DUMMYFUNCTION("if(B318&lt;=999,if(B318&lt;=99,IF(B318&lt;=9,join(,""000"",B318),join(,""00"",B318)),join(,""0"",B318)),B318)"),1304.0)</f>
        <v>1304</v>
      </c>
      <c r="E318" s="263" t="str">
        <f>vlookup(B318,'Geotagging Master All-Training '!$A$2:$C$2474,2,false)</f>
        <v>#N/A</v>
      </c>
      <c r="F318" s="263" t="str">
        <f>vlookup(B318,'Geotagging Master All-Training '!$A$2:$C$2474,3,false)</f>
        <v>#N/A</v>
      </c>
      <c r="G318" s="265" t="s">
        <v>20</v>
      </c>
      <c r="H318" s="258"/>
    </row>
    <row r="319" hidden="1">
      <c r="A319" s="258">
        <v>647.0</v>
      </c>
      <c r="B319" s="258">
        <v>647.0</v>
      </c>
      <c r="C319" s="260">
        <v>323.0</v>
      </c>
      <c r="D319" s="260" t="str">
        <f>IFERROR(__xludf.DUMMYFUNCTION("if(B319&lt;=999,if(B319&lt;=99,IF(B319&lt;=9,join(,""000"",B319),join(,""00"",B319)),join(,""0"",B319)),B319)"),"0647")</f>
        <v>0647</v>
      </c>
      <c r="E319" s="263" t="str">
        <f>vlookup(B319,'Geotagging Master All-Training '!$A$2:$C$2474,2,false)</f>
        <v>#N/A</v>
      </c>
      <c r="F319" s="263" t="str">
        <f>vlookup(B319,'Geotagging Master All-Training '!$A$2:$C$2474,3,false)</f>
        <v>#N/A</v>
      </c>
      <c r="G319" s="265" t="s">
        <v>20</v>
      </c>
      <c r="H319" s="258"/>
    </row>
    <row r="320" hidden="1">
      <c r="A320" s="258">
        <v>1298.0</v>
      </c>
      <c r="B320" s="258">
        <v>1298.0</v>
      </c>
      <c r="C320" s="260">
        <v>324.0</v>
      </c>
      <c r="D320" s="260">
        <f>IFERROR(__xludf.DUMMYFUNCTION("if(B320&lt;=999,if(B320&lt;=99,IF(B320&lt;=9,join(,""000"",B320),join(,""00"",B320)),join(,""0"",B320)),B320)"),1298.0)</f>
        <v>1298</v>
      </c>
      <c r="E320" s="263" t="str">
        <f>vlookup(B320,'Geotagging Master All-Training '!$A$2:$C$2474,2,false)</f>
        <v>#N/A</v>
      </c>
      <c r="F320" s="263" t="str">
        <f>vlookup(B320,'Geotagging Master All-Training '!$A$2:$C$2474,3,false)</f>
        <v>#N/A</v>
      </c>
      <c r="G320" s="265" t="s">
        <v>20</v>
      </c>
      <c r="H320" s="258"/>
    </row>
    <row r="321" hidden="1">
      <c r="A321" s="272">
        <v>798.0</v>
      </c>
      <c r="B321" s="272">
        <v>798.0</v>
      </c>
      <c r="C321" s="273">
        <v>326.0</v>
      </c>
      <c r="D321" s="273" t="str">
        <f>IFERROR(__xludf.DUMMYFUNCTION("if(B321&lt;=999,if(B321&lt;=99,IF(B321&lt;=9,join(,""000"",B321),join(,""00"",B321)),join(,""0"",B321)),B321)"),"0798")</f>
        <v>0798</v>
      </c>
      <c r="E321" s="303" t="str">
        <f>vlookup(B321,'Geotagging Master All-Training '!$A$2:$C$2474,2,false)</f>
        <v>#N/A</v>
      </c>
      <c r="F321" s="303" t="str">
        <f>vlookup(B321,'Geotagging Master All-Training '!$A$2:$C$2474,3,false)</f>
        <v>#N/A</v>
      </c>
      <c r="G321" s="276" t="s">
        <v>20</v>
      </c>
      <c r="H321" s="272"/>
    </row>
    <row r="322" hidden="1">
      <c r="A322" s="272">
        <v>1025.0</v>
      </c>
      <c r="B322" s="272">
        <v>1025.0</v>
      </c>
      <c r="C322" s="273">
        <v>337.0</v>
      </c>
      <c r="D322" s="273">
        <f>IFERROR(__xludf.DUMMYFUNCTION("if(B322&lt;=999,if(B322&lt;=99,IF(B322&lt;=9,join(,""000"",B322),join(,""00"",B322)),join(,""0"",B322)),B322)"),1025.0)</f>
        <v>1025</v>
      </c>
      <c r="E322" s="303" t="str">
        <f>vlookup(B322,'Geotagging Master All-Training '!$A$2:$C$2474,2,false)</f>
        <v>#N/A</v>
      </c>
      <c r="F322" s="303" t="str">
        <f>vlookup(B322,'Geotagging Master All-Training '!$A$2:$C$2474,3,false)</f>
        <v>#N/A</v>
      </c>
      <c r="G322" s="276" t="s">
        <v>20</v>
      </c>
      <c r="H322" s="272"/>
    </row>
    <row r="323" hidden="1">
      <c r="A323" s="272">
        <v>1074.0</v>
      </c>
      <c r="B323" s="272">
        <v>1074.0</v>
      </c>
      <c r="C323" s="260">
        <v>327.0</v>
      </c>
      <c r="D323" s="273">
        <f>IFERROR(__xludf.DUMMYFUNCTION("if(B323&lt;=999,if(B323&lt;=99,IF(B323&lt;=9,join(,""000"",B323),join(,""00"",B323)),join(,""0"",B323)),B323)"),1074.0)</f>
        <v>1074</v>
      </c>
      <c r="E323" s="263" t="str">
        <f>vlookup(B323,'Geotagging Master All-Training '!$A$2:$C$2474,2,false)</f>
        <v>#N/A</v>
      </c>
      <c r="F323" s="263" t="str">
        <f>vlookup(B323,'Geotagging Master All-Training '!$A$2:$C$2474,3,false)</f>
        <v>#N/A</v>
      </c>
      <c r="G323" s="276" t="s">
        <v>20</v>
      </c>
      <c r="H323" s="272"/>
    </row>
    <row r="324" hidden="1">
      <c r="A324" s="272">
        <v>530.0</v>
      </c>
      <c r="B324" s="272">
        <v>530.0</v>
      </c>
      <c r="C324" s="260">
        <v>328.0</v>
      </c>
      <c r="D324" s="273" t="str">
        <f>IFERROR(__xludf.DUMMYFUNCTION("if(B324&lt;=999,if(B324&lt;=99,IF(B324&lt;=9,join(,""000"",B324),join(,""00"",B324)),join(,""0"",B324)),B324)"),"0530")</f>
        <v>0530</v>
      </c>
      <c r="E324" s="263" t="str">
        <f>vlookup(B324,'Geotagging Master All-Training '!$A$2:$C$2474,2,false)</f>
        <v>#N/A</v>
      </c>
      <c r="F324" s="263" t="str">
        <f>vlookup(B324,'Geotagging Master All-Training '!$A$2:$C$2474,3,false)</f>
        <v>#N/A</v>
      </c>
      <c r="G324" s="276" t="s">
        <v>20</v>
      </c>
      <c r="H324" s="272"/>
    </row>
    <row r="325" hidden="1">
      <c r="A325" s="258">
        <v>741.0</v>
      </c>
      <c r="B325" s="258">
        <v>741.0</v>
      </c>
      <c r="C325" s="260">
        <v>329.0</v>
      </c>
      <c r="D325" s="260" t="str">
        <f>IFERROR(__xludf.DUMMYFUNCTION("if(B325&lt;=999,if(B325&lt;=99,IF(B325&lt;=9,join(,""000"",B325),join(,""00"",B325)),join(,""0"",B325)),B325)"),"0741")</f>
        <v>0741</v>
      </c>
      <c r="E325" s="263" t="str">
        <f>vlookup(B325,'Geotagging Master All-Training '!$A$2:$C$2474,2,false)</f>
        <v>#N/A</v>
      </c>
      <c r="F325" s="263" t="str">
        <f>vlookup(B325,'Geotagging Master All-Training '!$A$2:$C$2474,3,false)</f>
        <v>#N/A</v>
      </c>
      <c r="G325" s="265" t="s">
        <v>20</v>
      </c>
      <c r="H325" s="258"/>
    </row>
    <row r="326" hidden="1">
      <c r="A326" s="258">
        <v>227.0</v>
      </c>
      <c r="B326" s="259">
        <v>227.0</v>
      </c>
      <c r="C326" s="260">
        <v>330.0</v>
      </c>
      <c r="D326" s="260" t="str">
        <f>IFERROR(__xludf.DUMMYFUNCTION("if(B326&lt;=999,if(B326&lt;=99,IF(B326&lt;=9,join(,""000"",B326),join(,""00"",B326)),join(,""0"",B326)),B326)"),"0227")</f>
        <v>0227</v>
      </c>
      <c r="E326" s="263" t="str">
        <f>vlookup(B326,'Geotagging Master All-Training '!$A$2:$C$2474,2,false)</f>
        <v>#N/A</v>
      </c>
      <c r="F326" s="263" t="str">
        <f>vlookup(B326,'Geotagging Master All-Training '!$A$2:$C$2474,3,false)</f>
        <v>#N/A</v>
      </c>
      <c r="G326" s="265" t="s">
        <v>20</v>
      </c>
      <c r="H326" s="258"/>
    </row>
    <row r="327" hidden="1">
      <c r="A327" s="258">
        <v>1233.0</v>
      </c>
      <c r="B327" s="258">
        <v>1233.0</v>
      </c>
      <c r="C327" s="260">
        <v>331.0</v>
      </c>
      <c r="D327" s="260">
        <f>IFERROR(__xludf.DUMMYFUNCTION("if(B327&lt;=999,if(B327&lt;=99,IF(B327&lt;=9,join(,""000"",B327),join(,""00"",B327)),join(,""0"",B327)),B327)"),1233.0)</f>
        <v>1233</v>
      </c>
      <c r="E327" s="263" t="str">
        <f>vlookup(B327,'Geotagging Master All-Training '!$A$2:$C$2474,2,false)</f>
        <v>#N/A</v>
      </c>
      <c r="F327" s="263" t="str">
        <f>vlookup(B327,'Geotagging Master All-Training '!$A$2:$C$2474,3,false)</f>
        <v>#N/A</v>
      </c>
      <c r="G327" s="265" t="s">
        <v>20</v>
      </c>
      <c r="H327" s="258"/>
    </row>
    <row r="328" hidden="1">
      <c r="A328" s="258">
        <v>1115.0</v>
      </c>
      <c r="B328" s="258">
        <v>1115.0</v>
      </c>
      <c r="C328" s="260">
        <v>332.0</v>
      </c>
      <c r="D328" s="260">
        <f>IFERROR(__xludf.DUMMYFUNCTION("if(B328&lt;=999,if(B328&lt;=99,IF(B328&lt;=9,join(,""000"",B328),join(,""00"",B328)),join(,""0"",B328)),B328)"),1115.0)</f>
        <v>1115</v>
      </c>
      <c r="E328" s="263" t="str">
        <f>vlookup(B328,'Geotagging Master All-Training '!$A$2:$C$2474,2,false)</f>
        <v>#N/A</v>
      </c>
      <c r="F328" s="263" t="str">
        <f>vlookup(B328,'Geotagging Master All-Training '!$A$2:$C$2474,3,false)</f>
        <v>#N/A</v>
      </c>
      <c r="G328" s="265" t="s">
        <v>20</v>
      </c>
      <c r="H328" s="258"/>
    </row>
    <row r="329" hidden="1">
      <c r="A329" s="258">
        <v>219.0</v>
      </c>
      <c r="B329" s="258">
        <v>219.0</v>
      </c>
      <c r="C329" s="260">
        <v>333.0</v>
      </c>
      <c r="D329" s="260" t="str">
        <f>IFERROR(__xludf.DUMMYFUNCTION("if(B329&lt;=999,if(B329&lt;=99,IF(B329&lt;=9,join(,""000"",B329),join(,""00"",B329)),join(,""0"",B329)),B329)"),"0219")</f>
        <v>0219</v>
      </c>
      <c r="E329" s="263" t="str">
        <f>vlookup(B329,'Geotagging Master All-Training '!$A$2:$C$2474,2,false)</f>
        <v>#N/A</v>
      </c>
      <c r="F329" s="263" t="str">
        <f>vlookup(B329,'Geotagging Master All-Training '!$A$2:$C$2474,3,false)</f>
        <v>#N/A</v>
      </c>
      <c r="G329" s="265" t="s">
        <v>20</v>
      </c>
      <c r="H329" s="258"/>
    </row>
    <row r="330" hidden="1">
      <c r="A330" s="258">
        <v>1402.0</v>
      </c>
      <c r="B330" s="259">
        <v>1402.0</v>
      </c>
      <c r="C330" s="260">
        <v>334.0</v>
      </c>
      <c r="D330" s="260">
        <f>IFERROR(__xludf.DUMMYFUNCTION("if(B330&lt;=999,if(B330&lt;=99,IF(B330&lt;=9,join(,""000"",B330),join(,""00"",B330)),join(,""0"",B330)),B330)"),1402.0)</f>
        <v>1402</v>
      </c>
      <c r="E330" s="263" t="str">
        <f>vlookup(B330,'Geotagging Master All-Training '!$A$2:$C$2474,2,false)</f>
        <v>#N/A</v>
      </c>
      <c r="F330" s="263" t="str">
        <f>vlookup(B330,'Geotagging Master All-Training '!$A$2:$C$2474,3,false)</f>
        <v>#N/A</v>
      </c>
      <c r="G330" s="265" t="s">
        <v>20</v>
      </c>
      <c r="H330" s="258"/>
    </row>
    <row r="331" hidden="1">
      <c r="A331" s="272">
        <v>1125.0</v>
      </c>
      <c r="B331" s="272">
        <v>1125.0</v>
      </c>
      <c r="C331" s="260">
        <v>335.0</v>
      </c>
      <c r="D331" s="273">
        <f>IFERROR(__xludf.DUMMYFUNCTION("if(B331&lt;=999,if(B331&lt;=99,IF(B331&lt;=9,join(,""000"",B331),join(,""00"",B331)),join(,""0"",B331)),B331)"),1125.0)</f>
        <v>1125</v>
      </c>
      <c r="E331" s="263" t="str">
        <f>vlookup(B331,'Geotagging Master All-Training '!$A$2:$C$2474,2,false)</f>
        <v>#N/A</v>
      </c>
      <c r="F331" s="263" t="str">
        <f>vlookup(B331,'Geotagging Master All-Training '!$A$2:$C$2474,3,false)</f>
        <v>#N/A</v>
      </c>
      <c r="G331" s="276" t="s">
        <v>20</v>
      </c>
      <c r="H331" s="272"/>
    </row>
    <row r="332" hidden="1">
      <c r="A332" s="258">
        <v>681.0</v>
      </c>
      <c r="B332" s="258">
        <v>681.0</v>
      </c>
      <c r="C332" s="260">
        <v>336.0</v>
      </c>
      <c r="D332" s="260" t="str">
        <f>IFERROR(__xludf.DUMMYFUNCTION("if(B332&lt;=999,if(B332&lt;=99,IF(B332&lt;=9,join(,""000"",B332),join(,""00"",B332)),join(,""0"",B332)),B332)"),"0681")</f>
        <v>0681</v>
      </c>
      <c r="E332" s="263" t="str">
        <f>vlookup(B332,'Geotagging Master All-Training '!$A$2:$C$2474,2,false)</f>
        <v>#N/A</v>
      </c>
      <c r="F332" s="263" t="str">
        <f>vlookup(B332,'Geotagging Master All-Training '!$A$2:$C$2474,3,false)</f>
        <v>#N/A</v>
      </c>
      <c r="G332" s="265" t="s">
        <v>20</v>
      </c>
      <c r="H332" s="258"/>
    </row>
    <row r="333" hidden="1">
      <c r="A333" s="258">
        <v>80.0</v>
      </c>
      <c r="B333" s="258">
        <v>80.0</v>
      </c>
      <c r="C333" s="260">
        <v>339.0</v>
      </c>
      <c r="D333" s="260" t="str">
        <f>IFERROR(__xludf.DUMMYFUNCTION("if(B333&lt;=999,if(B333&lt;=99,IF(B333&lt;=9,join(,""000"",B333),join(,""00"",B333)),join(,""0"",B333)),B333)"),"0080")</f>
        <v>0080</v>
      </c>
      <c r="E333" s="263" t="str">
        <f>vlookup(B333,'Geotagging Master All-Training '!$A$2:$C$2474,2,false)</f>
        <v>#N/A</v>
      </c>
      <c r="F333" s="263" t="str">
        <f>vlookup(B333,'Geotagging Master All-Training '!$A$2:$C$2474,3,false)</f>
        <v>#N/A</v>
      </c>
      <c r="G333" s="265" t="s">
        <v>20</v>
      </c>
      <c r="H333" s="258"/>
    </row>
    <row r="334" hidden="1">
      <c r="A334" s="258">
        <v>1108.0</v>
      </c>
      <c r="B334" s="258">
        <v>1108.0</v>
      </c>
      <c r="C334" s="260">
        <v>340.0</v>
      </c>
      <c r="D334" s="260">
        <f>IFERROR(__xludf.DUMMYFUNCTION("if(B334&lt;=999,if(B334&lt;=99,IF(B334&lt;=9,join(,""000"",B334),join(,""00"",B334)),join(,""0"",B334)),B334)"),1108.0)</f>
        <v>1108</v>
      </c>
      <c r="E334" s="263" t="str">
        <f>vlookup(B334,'Geotagging Master All-Training '!$A$2:$C$2474,2,false)</f>
        <v>#N/A</v>
      </c>
      <c r="F334" s="263" t="str">
        <f>vlookup(B334,'Geotagging Master All-Training '!$A$2:$C$2474,3,false)</f>
        <v>#N/A</v>
      </c>
      <c r="G334" s="265" t="s">
        <v>20</v>
      </c>
      <c r="H334" s="258"/>
    </row>
    <row r="335" hidden="1">
      <c r="A335" s="258">
        <v>236.0</v>
      </c>
      <c r="B335" s="258">
        <v>236.0</v>
      </c>
      <c r="C335" s="260">
        <v>341.0</v>
      </c>
      <c r="D335" s="260" t="str">
        <f>IFERROR(__xludf.DUMMYFUNCTION("if(B335&lt;=999,if(B335&lt;=99,IF(B335&lt;=9,join(,""000"",B335),join(,""00"",B335)),join(,""0"",B335)),B335)"),"0236")</f>
        <v>0236</v>
      </c>
      <c r="E335" s="263" t="str">
        <f>vlookup(B335,'Geotagging Master All-Training '!$A$2:$C$2474,2,false)</f>
        <v>#N/A</v>
      </c>
      <c r="F335" s="263" t="str">
        <f>vlookup(B335,'Geotagging Master All-Training '!$A$2:$C$2474,3,false)</f>
        <v>#N/A</v>
      </c>
      <c r="G335" s="265" t="s">
        <v>20</v>
      </c>
      <c r="H335" s="258"/>
    </row>
    <row r="336" hidden="1">
      <c r="A336" s="258">
        <v>220.0</v>
      </c>
      <c r="B336" s="259">
        <v>220.0</v>
      </c>
      <c r="C336" s="260">
        <v>342.0</v>
      </c>
      <c r="D336" s="260" t="str">
        <f>IFERROR(__xludf.DUMMYFUNCTION("if(B336&lt;=999,if(B336&lt;=99,IF(B336&lt;=9,join(,""000"",B336),join(,""00"",B336)),join(,""0"",B336)),B336)"),"0220")</f>
        <v>0220</v>
      </c>
      <c r="E336" s="263" t="str">
        <f>vlookup(B336,'Geotagging Master All-Training '!$A$2:$C$2474,2,false)</f>
        <v>#N/A</v>
      </c>
      <c r="F336" s="263" t="str">
        <f>vlookup(B336,'Geotagging Master All-Training '!$A$2:$C$2474,3,false)</f>
        <v>#N/A</v>
      </c>
      <c r="G336" s="265" t="s">
        <v>20</v>
      </c>
      <c r="H336" s="258"/>
    </row>
    <row r="337" hidden="1">
      <c r="A337" s="258">
        <v>120.0</v>
      </c>
      <c r="B337" s="258">
        <v>120.0</v>
      </c>
      <c r="C337" s="260">
        <v>343.0</v>
      </c>
      <c r="D337" s="260" t="str">
        <f>IFERROR(__xludf.DUMMYFUNCTION("if(B337&lt;=999,if(B337&lt;=99,IF(B337&lt;=9,join(,""000"",B337),join(,""00"",B337)),join(,""0"",B337)),B337)"),"0120")</f>
        <v>0120</v>
      </c>
      <c r="E337" s="263" t="str">
        <f>vlookup(B337,'Geotagging Master All-Training '!$A$2:$C$2474,2,false)</f>
        <v>#N/A</v>
      </c>
      <c r="F337" s="263" t="str">
        <f>vlookup(B337,'Geotagging Master All-Training '!$A$2:$C$2474,3,false)</f>
        <v>#N/A</v>
      </c>
      <c r="G337" s="265" t="s">
        <v>20</v>
      </c>
      <c r="H337" s="258"/>
    </row>
    <row r="338" hidden="1">
      <c r="A338" s="258">
        <v>1118.0</v>
      </c>
      <c r="B338" s="258">
        <v>1118.0</v>
      </c>
      <c r="C338" s="260">
        <v>344.0</v>
      </c>
      <c r="D338" s="260">
        <f>IFERROR(__xludf.DUMMYFUNCTION("if(B338&lt;=999,if(B338&lt;=99,IF(B338&lt;=9,join(,""000"",B338),join(,""00"",B338)),join(,""0"",B338)),B338)"),1118.0)</f>
        <v>1118</v>
      </c>
      <c r="E338" s="263" t="str">
        <f>vlookup(B338,'Geotagging Master All-Training '!$A$2:$C$2474,2,false)</f>
        <v>#N/A</v>
      </c>
      <c r="F338" s="263" t="str">
        <f>vlookup(B338,'Geotagging Master All-Training '!$A$2:$C$2474,3,false)</f>
        <v>#N/A</v>
      </c>
      <c r="G338" s="265" t="s">
        <v>20</v>
      </c>
      <c r="H338" s="258"/>
    </row>
    <row r="339" hidden="1">
      <c r="A339" s="272">
        <v>213.0</v>
      </c>
      <c r="B339" s="272">
        <v>213.0</v>
      </c>
      <c r="C339" s="260">
        <v>345.0</v>
      </c>
      <c r="D339" s="273" t="str">
        <f>IFERROR(__xludf.DUMMYFUNCTION("if(B339&lt;=999,if(B339&lt;=99,IF(B339&lt;=9,join(,""000"",B339),join(,""00"",B339)),join(,""0"",B339)),B339)"),"0213")</f>
        <v>0213</v>
      </c>
      <c r="E339" s="263" t="str">
        <f>vlookup(B339,'Geotagging Master All-Training '!$A$2:$C$2474,2,false)</f>
        <v>#N/A</v>
      </c>
      <c r="F339" s="263" t="str">
        <f>vlookup(B339,'Geotagging Master All-Training '!$A$2:$C$2474,3,false)</f>
        <v>#N/A</v>
      </c>
      <c r="G339" s="276" t="s">
        <v>20</v>
      </c>
      <c r="H339" s="272"/>
    </row>
    <row r="340" hidden="1">
      <c r="A340" s="258">
        <v>112.0</v>
      </c>
      <c r="B340" s="259">
        <v>112.0</v>
      </c>
      <c r="C340" s="260">
        <v>346.0</v>
      </c>
      <c r="D340" s="260" t="str">
        <f>IFERROR(__xludf.DUMMYFUNCTION("if(B340&lt;=999,if(B340&lt;=99,IF(B340&lt;=9,join(,""000"",B340),join(,""00"",B340)),join(,""0"",B340)),B340)"),"0112")</f>
        <v>0112</v>
      </c>
      <c r="E340" s="263" t="str">
        <f>vlookup(B340,'Geotagging Master All-Training '!$A$2:$C$2474,2,false)</f>
        <v>#N/A</v>
      </c>
      <c r="F340" s="263" t="str">
        <f>vlookup(B340,'Geotagging Master All-Training '!$A$2:$C$2474,3,false)</f>
        <v>#N/A</v>
      </c>
      <c r="G340" s="265" t="s">
        <v>20</v>
      </c>
      <c r="H340" s="258"/>
    </row>
    <row r="341" hidden="1">
      <c r="A341" s="272">
        <v>740.0</v>
      </c>
      <c r="B341" s="272">
        <v>740.0</v>
      </c>
      <c r="C341" s="273">
        <v>348.0</v>
      </c>
      <c r="D341" s="273" t="str">
        <f>IFERROR(__xludf.DUMMYFUNCTION("if(B341&lt;=999,if(B341&lt;=99,IF(B341&lt;=9,join(,""000"",B341),join(,""00"",B341)),join(,""0"",B341)),B341)"),"0740")</f>
        <v>0740</v>
      </c>
      <c r="E341" s="303" t="str">
        <f>vlookup(B341,'Geotagging Master All-Training '!$A$2:$C$2474,2,false)</f>
        <v>#N/A</v>
      </c>
      <c r="F341" s="303" t="str">
        <f>vlookup(B341,'Geotagging Master All-Training '!$A$2:$C$2474,3,false)</f>
        <v>#N/A</v>
      </c>
      <c r="G341" s="276" t="s">
        <v>20</v>
      </c>
      <c r="H341" s="272"/>
    </row>
    <row r="342" hidden="1">
      <c r="A342" s="272">
        <v>358.0</v>
      </c>
      <c r="B342" s="272">
        <v>358.0</v>
      </c>
      <c r="C342" s="273">
        <v>356.0</v>
      </c>
      <c r="D342" s="273" t="str">
        <f>IFERROR(__xludf.DUMMYFUNCTION("if(B342&lt;=999,if(B342&lt;=99,IF(B342&lt;=9,join(,""000"",B342),join(,""00"",B342)),join(,""0"",B342)),B342)"),"0358")</f>
        <v>0358</v>
      </c>
      <c r="E342" s="303" t="str">
        <f>vlookup(B342,'Geotagging Master All-Training '!$A$2:$C$2474,2,false)</f>
        <v>#N/A</v>
      </c>
      <c r="F342" s="303" t="str">
        <f>vlookup(B342,'Geotagging Master All-Training '!$A$2:$C$2474,3,false)</f>
        <v>#N/A</v>
      </c>
      <c r="G342" s="276" t="s">
        <v>20</v>
      </c>
      <c r="H342" s="272"/>
    </row>
    <row r="343" hidden="1">
      <c r="A343" s="258">
        <v>950.0</v>
      </c>
      <c r="B343" s="258">
        <v>950.0</v>
      </c>
      <c r="C343" s="260">
        <v>349.0</v>
      </c>
      <c r="D343" s="260" t="str">
        <f>IFERROR(__xludf.DUMMYFUNCTION("if(B343&lt;=999,if(B343&lt;=99,IF(B343&lt;=9,join(,""000"",B343),join(,""00"",B343)),join(,""0"",B343)),B343)"),"0950")</f>
        <v>0950</v>
      </c>
      <c r="E343" s="263" t="str">
        <f>vlookup(B343,'Geotagging Master All-Training '!$A$2:$C$2474,2,false)</f>
        <v>#N/A</v>
      </c>
      <c r="F343" s="263" t="str">
        <f>vlookup(B343,'Geotagging Master All-Training '!$A$2:$C$2474,3,false)</f>
        <v>#N/A</v>
      </c>
      <c r="G343" s="265" t="s">
        <v>20</v>
      </c>
      <c r="H343" s="258"/>
    </row>
    <row r="344" hidden="1">
      <c r="A344" s="258">
        <v>1244.0</v>
      </c>
      <c r="B344" s="259">
        <v>1244.0</v>
      </c>
      <c r="C344" s="260">
        <v>350.0</v>
      </c>
      <c r="D344" s="260">
        <f>IFERROR(__xludf.DUMMYFUNCTION("if(B344&lt;=999,if(B344&lt;=99,IF(B344&lt;=9,join(,""000"",B344),join(,""00"",B344)),join(,""0"",B344)),B344)"),1244.0)</f>
        <v>1244</v>
      </c>
      <c r="E344" s="263" t="str">
        <f>vlookup(B344,'Geotagging Master All-Training '!$A$2:$C$2474,2,false)</f>
        <v>#N/A</v>
      </c>
      <c r="F344" s="263" t="str">
        <f>vlookup(B344,'Geotagging Master All-Training '!$A$2:$C$2474,3,false)</f>
        <v>#N/A</v>
      </c>
      <c r="G344" s="265" t="s">
        <v>20</v>
      </c>
      <c r="H344" s="258"/>
    </row>
    <row r="345" hidden="1">
      <c r="A345" s="258">
        <v>815.0</v>
      </c>
      <c r="B345" s="258">
        <v>815.0</v>
      </c>
      <c r="C345" s="260">
        <v>351.0</v>
      </c>
      <c r="D345" s="260" t="str">
        <f>IFERROR(__xludf.DUMMYFUNCTION("if(B345&lt;=999,if(B345&lt;=99,IF(B345&lt;=9,join(,""000"",B345),join(,""00"",B345)),join(,""0"",B345)),B345)"),"0815")</f>
        <v>0815</v>
      </c>
      <c r="E345" s="263" t="str">
        <f>vlookup(B345,'Geotagging Master All-Training '!$A$2:$C$2474,2,false)</f>
        <v>#N/A</v>
      </c>
      <c r="F345" s="263" t="str">
        <f>vlookup(B345,'Geotagging Master All-Training '!$A$2:$C$2474,3,false)</f>
        <v>#N/A</v>
      </c>
      <c r="G345" s="265" t="s">
        <v>20</v>
      </c>
      <c r="H345" s="258"/>
    </row>
    <row r="346" hidden="1">
      <c r="A346" s="258">
        <v>37.0</v>
      </c>
      <c r="B346" s="259">
        <v>37.0</v>
      </c>
      <c r="C346" s="260">
        <v>352.0</v>
      </c>
      <c r="D346" s="260" t="str">
        <f>IFERROR(__xludf.DUMMYFUNCTION("if(B346&lt;=999,if(B346&lt;=99,IF(B346&lt;=9,join(,""000"",B346),join(,""00"",B346)),join(,""0"",B346)),B346)"),"0037")</f>
        <v>0037</v>
      </c>
      <c r="E346" s="263" t="str">
        <f>vlookup(B346,'Geotagging Master All-Training '!$A$2:$C$2474,2,false)</f>
        <v>#N/A</v>
      </c>
      <c r="F346" s="263" t="str">
        <f>vlookup(B346,'Geotagging Master All-Training '!$A$2:$C$2474,3,false)</f>
        <v>#N/A</v>
      </c>
      <c r="G346" s="265" t="s">
        <v>20</v>
      </c>
      <c r="H346" s="258"/>
    </row>
    <row r="347" hidden="1">
      <c r="A347" s="258">
        <v>723.0</v>
      </c>
      <c r="B347" s="258">
        <v>723.0</v>
      </c>
      <c r="C347" s="260">
        <v>353.0</v>
      </c>
      <c r="D347" s="260" t="str">
        <f>IFERROR(__xludf.DUMMYFUNCTION("if(B347&lt;=999,if(B347&lt;=99,IF(B347&lt;=9,join(,""000"",B347),join(,""00"",B347)),join(,""0"",B347)),B347)"),"0723")</f>
        <v>0723</v>
      </c>
      <c r="E347" s="263" t="str">
        <f>vlookup(B347,'Geotagging Master All-Training '!$A$2:$C$2474,2,false)</f>
        <v>#N/A</v>
      </c>
      <c r="F347" s="263" t="str">
        <f>vlookup(B347,'Geotagging Master All-Training '!$A$2:$C$2474,3,false)</f>
        <v>#N/A</v>
      </c>
      <c r="G347" s="265" t="s">
        <v>20</v>
      </c>
      <c r="H347" s="258"/>
    </row>
    <row r="348" hidden="1">
      <c r="A348" s="258">
        <v>1086.0</v>
      </c>
      <c r="B348" s="258">
        <v>1086.0</v>
      </c>
      <c r="C348" s="260">
        <v>354.0</v>
      </c>
      <c r="D348" s="260">
        <f>IFERROR(__xludf.DUMMYFUNCTION("if(B348&lt;=999,if(B348&lt;=99,IF(B348&lt;=9,join(,""000"",B348),join(,""00"",B348)),join(,""0"",B348)),B348)"),1086.0)</f>
        <v>1086</v>
      </c>
      <c r="E348" s="263" t="str">
        <f>vlookup(B348,'Geotagging Master All-Training '!$A$2:$C$2474,2,false)</f>
        <v>#N/A</v>
      </c>
      <c r="F348" s="263" t="str">
        <f>vlookup(B348,'Geotagging Master All-Training '!$A$2:$C$2474,3,false)</f>
        <v>#N/A</v>
      </c>
      <c r="G348" s="265" t="s">
        <v>20</v>
      </c>
      <c r="H348" s="258"/>
    </row>
    <row r="349" hidden="1">
      <c r="A349" s="258">
        <v>71.0</v>
      </c>
      <c r="B349" s="258">
        <v>71.0</v>
      </c>
      <c r="C349" s="260">
        <v>355.0</v>
      </c>
      <c r="D349" s="260" t="str">
        <f>IFERROR(__xludf.DUMMYFUNCTION("if(B349&lt;=999,if(B349&lt;=99,IF(B349&lt;=9,join(,""000"",B349),join(,""00"",B349)),join(,""0"",B349)),B349)"),"0071")</f>
        <v>0071</v>
      </c>
      <c r="E349" s="263" t="str">
        <f>vlookup(B349,'Geotagging Master All-Training '!$A$2:$C$2474,2,false)</f>
        <v>#N/A</v>
      </c>
      <c r="F349" s="263" t="str">
        <f>vlookup(B349,'Geotagging Master All-Training '!$A$2:$C$2474,3,false)</f>
        <v>#N/A</v>
      </c>
      <c r="G349" s="265" t="s">
        <v>20</v>
      </c>
      <c r="H349" s="258"/>
    </row>
    <row r="350" hidden="1">
      <c r="A350" s="272">
        <v>1363.0</v>
      </c>
      <c r="B350" s="272">
        <v>1363.0</v>
      </c>
      <c r="C350" s="273">
        <v>368.0</v>
      </c>
      <c r="D350" s="273">
        <f>IFERROR(__xludf.DUMMYFUNCTION("if(B350&lt;=999,if(B350&lt;=99,IF(B350&lt;=9,join(,""000"",B350),join(,""00"",B350)),join(,""0"",B350)),B350)"),1363.0)</f>
        <v>1363</v>
      </c>
      <c r="E350" s="303" t="str">
        <f>vlookup(B350,'Geotagging Master All-Training '!$A$2:$C$2474,2,false)</f>
        <v>#N/A</v>
      </c>
      <c r="F350" s="303" t="str">
        <f>vlookup(B350,'Geotagging Master All-Training '!$A$2:$C$2474,3,false)</f>
        <v>#N/A</v>
      </c>
      <c r="G350" s="276" t="s">
        <v>20</v>
      </c>
      <c r="H350" s="272"/>
    </row>
    <row r="351" hidden="1">
      <c r="A351" s="258">
        <v>1240.0</v>
      </c>
      <c r="B351" s="258">
        <v>1240.0</v>
      </c>
      <c r="C351" s="260">
        <v>357.0</v>
      </c>
      <c r="D351" s="260">
        <f>IFERROR(__xludf.DUMMYFUNCTION("if(B351&lt;=999,if(B351&lt;=99,IF(B351&lt;=9,join(,""000"",B351),join(,""00"",B351)),join(,""0"",B351)),B351)"),1240.0)</f>
        <v>1240</v>
      </c>
      <c r="E351" s="263" t="str">
        <f>vlookup(B351,'Geotagging Master All-Training '!$A$2:$C$2474,2,false)</f>
        <v>#N/A</v>
      </c>
      <c r="F351" s="263" t="str">
        <f>vlookup(B351,'Geotagging Master All-Training '!$A$2:$C$2474,3,false)</f>
        <v>#N/A</v>
      </c>
      <c r="G351" s="265" t="s">
        <v>20</v>
      </c>
      <c r="H351" s="258"/>
    </row>
    <row r="352" hidden="1">
      <c r="A352" s="258">
        <v>1446.0</v>
      </c>
      <c r="B352" s="258">
        <v>1446.0</v>
      </c>
      <c r="C352" s="260">
        <v>358.0</v>
      </c>
      <c r="D352" s="260">
        <f>IFERROR(__xludf.DUMMYFUNCTION("if(B352&lt;=999,if(B352&lt;=99,IF(B352&lt;=9,join(,""000"",B352),join(,""00"",B352)),join(,""0"",B352)),B352)"),1446.0)</f>
        <v>1446</v>
      </c>
      <c r="E352" s="263" t="str">
        <f>vlookup(B352,'Geotagging Master All-Training '!$A$2:$C$2474,2,false)</f>
        <v>#N/A</v>
      </c>
      <c r="F352" s="263" t="str">
        <f>vlookup(B352,'Geotagging Master All-Training '!$A$2:$C$2474,3,false)</f>
        <v>#N/A</v>
      </c>
      <c r="G352" s="265" t="s">
        <v>20</v>
      </c>
      <c r="H352" s="258"/>
    </row>
    <row r="353" hidden="1">
      <c r="A353" s="258">
        <v>1146.0</v>
      </c>
      <c r="B353" s="258">
        <v>1146.0</v>
      </c>
      <c r="C353" s="260">
        <v>359.0</v>
      </c>
      <c r="D353" s="260">
        <f>IFERROR(__xludf.DUMMYFUNCTION("if(B353&lt;=999,if(B353&lt;=99,IF(B353&lt;=9,join(,""000"",B353),join(,""00"",B353)),join(,""0"",B353)),B353)"),1146.0)</f>
        <v>1146</v>
      </c>
      <c r="E353" s="263" t="str">
        <f>vlookup(B353,'Geotagging Master All-Training '!$A$2:$C$2474,2,false)</f>
        <v>#N/A</v>
      </c>
      <c r="F353" s="263" t="str">
        <f>vlookup(B353,'Geotagging Master All-Training '!$A$2:$C$2474,3,false)</f>
        <v>#N/A</v>
      </c>
      <c r="G353" s="265" t="s">
        <v>20</v>
      </c>
      <c r="H353" s="258"/>
    </row>
    <row r="354" hidden="1">
      <c r="A354" s="258">
        <v>60.0</v>
      </c>
      <c r="B354" s="258">
        <v>60.0</v>
      </c>
      <c r="C354" s="260">
        <v>360.0</v>
      </c>
      <c r="D354" s="260" t="str">
        <f>IFERROR(__xludf.DUMMYFUNCTION("if(B354&lt;=999,if(B354&lt;=99,IF(B354&lt;=9,join(,""000"",B354),join(,""00"",B354)),join(,""0"",B354)),B354)"),"0060")</f>
        <v>0060</v>
      </c>
      <c r="E354" s="263" t="str">
        <f>vlookup(B354,'Geotagging Master All-Training '!$A$2:$C$2474,2,false)</f>
        <v>#N/A</v>
      </c>
      <c r="F354" s="263" t="str">
        <f>vlookup(B354,'Geotagging Master All-Training '!$A$2:$C$2474,3,false)</f>
        <v>#N/A</v>
      </c>
      <c r="G354" s="265" t="s">
        <v>20</v>
      </c>
      <c r="H354" s="258"/>
    </row>
    <row r="355" hidden="1">
      <c r="A355" s="272">
        <v>1346.0</v>
      </c>
      <c r="B355" s="272">
        <v>1346.0</v>
      </c>
      <c r="C355" s="260">
        <v>361.0</v>
      </c>
      <c r="D355" s="273">
        <f>IFERROR(__xludf.DUMMYFUNCTION("if(B355&lt;=999,if(B355&lt;=99,IF(B355&lt;=9,join(,""000"",B355),join(,""00"",B355)),join(,""0"",B355)),B355)"),1346.0)</f>
        <v>1346</v>
      </c>
      <c r="E355" s="263" t="str">
        <f>vlookup(B355,'Geotagging Master All-Training '!$A$2:$C$2474,2,false)</f>
        <v>#N/A</v>
      </c>
      <c r="F355" s="263" t="str">
        <f>vlookup(B355,'Geotagging Master All-Training '!$A$2:$C$2474,3,false)</f>
        <v>#N/A</v>
      </c>
      <c r="G355" s="276" t="s">
        <v>20</v>
      </c>
      <c r="H355" s="272"/>
    </row>
    <row r="356" hidden="1">
      <c r="A356" s="258">
        <v>831.0</v>
      </c>
      <c r="B356" s="258">
        <v>831.0</v>
      </c>
      <c r="C356" s="260">
        <v>362.0</v>
      </c>
      <c r="D356" s="260" t="str">
        <f>IFERROR(__xludf.DUMMYFUNCTION("if(B356&lt;=999,if(B356&lt;=99,IF(B356&lt;=9,join(,""000"",B356),join(,""00"",B356)),join(,""0"",B356)),B356)"),"0831")</f>
        <v>0831</v>
      </c>
      <c r="E356" s="263" t="str">
        <f>vlookup(B356,'Geotagging Master All-Training '!$A$2:$C$2474,2,false)</f>
        <v>#N/A</v>
      </c>
      <c r="F356" s="263" t="str">
        <f>vlookup(B356,'Geotagging Master All-Training '!$A$2:$C$2474,3,false)</f>
        <v>#N/A</v>
      </c>
      <c r="G356" s="265" t="s">
        <v>20</v>
      </c>
      <c r="H356" s="258"/>
    </row>
    <row r="357" hidden="1">
      <c r="A357" s="258">
        <v>25.0</v>
      </c>
      <c r="B357" s="258">
        <v>25.0</v>
      </c>
      <c r="C357" s="260">
        <v>363.0</v>
      </c>
      <c r="D357" s="260" t="str">
        <f>IFERROR(__xludf.DUMMYFUNCTION("if(B357&lt;=999,if(B357&lt;=99,IF(B357&lt;=9,join(,""000"",B357),join(,""00"",B357)),join(,""0"",B357)),B357)"),"0025")</f>
        <v>0025</v>
      </c>
      <c r="E357" s="263" t="str">
        <f>vlookup(B357,'Geotagging Master All-Training '!$A$2:$C$2474,2,false)</f>
        <v>#N/A</v>
      </c>
      <c r="F357" s="263" t="str">
        <f>vlookup(B357,'Geotagging Master All-Training '!$A$2:$C$2474,3,false)</f>
        <v>#N/A</v>
      </c>
      <c r="G357" s="265" t="s">
        <v>20</v>
      </c>
      <c r="H357" s="258"/>
    </row>
    <row r="358" hidden="1">
      <c r="A358" s="258">
        <v>1375.0</v>
      </c>
      <c r="B358" s="258">
        <v>1375.0</v>
      </c>
      <c r="C358" s="260">
        <v>364.0</v>
      </c>
      <c r="D358" s="260">
        <f>IFERROR(__xludf.DUMMYFUNCTION("if(B358&lt;=999,if(B358&lt;=99,IF(B358&lt;=9,join(,""000"",B358),join(,""00"",B358)),join(,""0"",B358)),B358)"),1375.0)</f>
        <v>1375</v>
      </c>
      <c r="E358" s="263" t="str">
        <f>vlookup(B358,'Geotagging Master All-Training '!$A$2:$C$2474,2,false)</f>
        <v>#N/A</v>
      </c>
      <c r="F358" s="263" t="str">
        <f>vlookup(B358,'Geotagging Master All-Training '!$A$2:$C$2474,3,false)</f>
        <v>#N/A</v>
      </c>
      <c r="G358" s="265" t="s">
        <v>20</v>
      </c>
      <c r="H358" s="258"/>
    </row>
    <row r="359" hidden="1">
      <c r="A359" s="258">
        <v>1128.0</v>
      </c>
      <c r="B359" s="258">
        <v>1128.0</v>
      </c>
      <c r="C359" s="260">
        <v>365.0</v>
      </c>
      <c r="D359" s="260">
        <f>IFERROR(__xludf.DUMMYFUNCTION("if(B359&lt;=999,if(B359&lt;=99,IF(B359&lt;=9,join(,""000"",B359),join(,""00"",B359)),join(,""0"",B359)),B359)"),1128.0)</f>
        <v>1128</v>
      </c>
      <c r="E359" s="263" t="str">
        <f>vlookup(B359,'Geotagging Master All-Training '!$A$2:$C$2474,2,false)</f>
        <v>#N/A</v>
      </c>
      <c r="F359" s="263" t="str">
        <f>vlookup(B359,'Geotagging Master All-Training '!$A$2:$C$2474,3,false)</f>
        <v>#N/A</v>
      </c>
      <c r="G359" s="265" t="s">
        <v>20</v>
      </c>
      <c r="H359" s="258"/>
    </row>
    <row r="360" hidden="1">
      <c r="A360" s="258">
        <v>631.0</v>
      </c>
      <c r="B360" s="259">
        <v>631.0</v>
      </c>
      <c r="C360" s="260">
        <v>366.0</v>
      </c>
      <c r="D360" s="260" t="str">
        <f>IFERROR(__xludf.DUMMYFUNCTION("if(B360&lt;=999,if(B360&lt;=99,IF(B360&lt;=9,join(,""000"",B360),join(,""00"",B360)),join(,""0"",B360)),B360)"),"0631")</f>
        <v>0631</v>
      </c>
      <c r="E360" s="263" t="str">
        <f>vlookup(B360,'Geotagging Master All-Training '!$A$2:$C$2474,2,false)</f>
        <v>#N/A</v>
      </c>
      <c r="F360" s="263" t="str">
        <f>vlookup(B360,'Geotagging Master All-Training '!$A$2:$C$2474,3,false)</f>
        <v>#N/A</v>
      </c>
      <c r="G360" s="265" t="s">
        <v>20</v>
      </c>
      <c r="H360" s="258"/>
    </row>
    <row r="361" hidden="1">
      <c r="A361" s="258">
        <v>1463.0</v>
      </c>
      <c r="B361" s="258">
        <v>1463.0</v>
      </c>
      <c r="C361" s="260">
        <v>367.0</v>
      </c>
      <c r="D361" s="260">
        <f>IFERROR(__xludf.DUMMYFUNCTION("if(B361&lt;=999,if(B361&lt;=99,IF(B361&lt;=9,join(,""000"",B361),join(,""00"",B361)),join(,""0"",B361)),B361)"),1463.0)</f>
        <v>1463</v>
      </c>
      <c r="E361" s="263" t="str">
        <f>vlookup(B361,'Geotagging Master All-Training '!$A$2:$C$2474,2,false)</f>
        <v>#N/A</v>
      </c>
      <c r="F361" s="263" t="str">
        <f>vlookup(B361,'Geotagging Master All-Training '!$A$2:$C$2474,3,false)</f>
        <v>#N/A</v>
      </c>
      <c r="G361" s="265" t="s">
        <v>20</v>
      </c>
      <c r="H361" s="258"/>
    </row>
    <row r="362" hidden="1">
      <c r="A362" s="258">
        <v>1029.0</v>
      </c>
      <c r="B362" s="258">
        <v>1029.0</v>
      </c>
      <c r="C362" s="260">
        <v>369.0</v>
      </c>
      <c r="D362" s="260">
        <f>IFERROR(__xludf.DUMMYFUNCTION("if(B362&lt;=999,if(B362&lt;=99,IF(B362&lt;=9,join(,""000"",B362),join(,""00"",B362)),join(,""0"",B362)),B362)"),1029.0)</f>
        <v>1029</v>
      </c>
      <c r="E362" s="263" t="str">
        <f>vlookup(B362,'Geotagging Master All-Training '!$A$2:$C$2474,2,false)</f>
        <v>#N/A</v>
      </c>
      <c r="F362" s="263" t="str">
        <f>vlookup(B362,'Geotagging Master All-Training '!$A$2:$C$2474,3,false)</f>
        <v>#N/A</v>
      </c>
      <c r="G362" s="265" t="s">
        <v>20</v>
      </c>
      <c r="H362" s="258"/>
    </row>
    <row r="363" hidden="1">
      <c r="A363" s="258">
        <v>1350.0</v>
      </c>
      <c r="B363" s="258">
        <v>1350.0</v>
      </c>
      <c r="C363" s="260">
        <v>370.0</v>
      </c>
      <c r="D363" s="260">
        <f>IFERROR(__xludf.DUMMYFUNCTION("if(B363&lt;=999,if(B363&lt;=99,IF(B363&lt;=9,join(,""000"",B363),join(,""00"",B363)),join(,""0"",B363)),B363)"),1350.0)</f>
        <v>1350</v>
      </c>
      <c r="E363" s="263" t="str">
        <f>vlookup(B363,'Geotagging Master All-Training '!$A$2:$C$2474,2,false)</f>
        <v>#N/A</v>
      </c>
      <c r="F363" s="263" t="str">
        <f>vlookup(B363,'Geotagging Master All-Training '!$A$2:$C$2474,3,false)</f>
        <v>#N/A</v>
      </c>
      <c r="G363" s="265" t="s">
        <v>20</v>
      </c>
      <c r="H363" s="258"/>
    </row>
    <row r="364" hidden="1">
      <c r="A364" s="272">
        <v>1093.0</v>
      </c>
      <c r="B364" s="272">
        <v>1093.0</v>
      </c>
      <c r="C364" s="260">
        <v>371.0</v>
      </c>
      <c r="D364" s="273">
        <f>IFERROR(__xludf.DUMMYFUNCTION("if(B364&lt;=999,if(B364&lt;=99,IF(B364&lt;=9,join(,""000"",B364),join(,""00"",B364)),join(,""0"",B364)),B364)"),1093.0)</f>
        <v>1093</v>
      </c>
      <c r="E364" s="263" t="str">
        <f>vlookup(B364,'Geotagging Master All-Training '!$A$2:$C$2474,2,false)</f>
        <v>#N/A</v>
      </c>
      <c r="F364" s="263" t="str">
        <f>vlookup(B364,'Geotagging Master All-Training '!$A$2:$C$2474,3,false)</f>
        <v>#N/A</v>
      </c>
      <c r="G364" s="276" t="s">
        <v>20</v>
      </c>
      <c r="H364" s="272"/>
    </row>
    <row r="365" hidden="1">
      <c r="A365" s="258">
        <v>1222.0</v>
      </c>
      <c r="B365" s="258">
        <v>1222.0</v>
      </c>
      <c r="C365" s="260">
        <v>372.0</v>
      </c>
      <c r="D365" s="260">
        <f>IFERROR(__xludf.DUMMYFUNCTION("if(B365&lt;=999,if(B365&lt;=99,IF(B365&lt;=9,join(,""000"",B365),join(,""00"",B365)),join(,""0"",B365)),B365)"),1222.0)</f>
        <v>1222</v>
      </c>
      <c r="E365" s="263" t="str">
        <f>vlookup(B365,'Geotagging Master All-Training '!$A$2:$C$2474,2,false)</f>
        <v>#N/A</v>
      </c>
      <c r="F365" s="263" t="str">
        <f>vlookup(B365,'Geotagging Master All-Training '!$A$2:$C$2474,3,false)</f>
        <v>#N/A</v>
      </c>
      <c r="G365" s="265" t="s">
        <v>20</v>
      </c>
      <c r="H365" s="258"/>
    </row>
    <row r="366" hidden="1">
      <c r="A366" s="258">
        <v>1023.0</v>
      </c>
      <c r="B366" s="258">
        <v>1023.0</v>
      </c>
      <c r="C366" s="260">
        <v>373.0</v>
      </c>
      <c r="D366" s="260">
        <f>IFERROR(__xludf.DUMMYFUNCTION("if(B366&lt;=999,if(B366&lt;=99,IF(B366&lt;=9,join(,""000"",B366),join(,""00"",B366)),join(,""0"",B366)),B366)"),1023.0)</f>
        <v>1023</v>
      </c>
      <c r="E366" s="263" t="str">
        <f>vlookup(B366,'Geotagging Master All-Training '!$A$2:$C$2474,2,false)</f>
        <v>#N/A</v>
      </c>
      <c r="F366" s="263" t="str">
        <f>vlookup(B366,'Geotagging Master All-Training '!$A$2:$C$2474,3,false)</f>
        <v>#N/A</v>
      </c>
      <c r="G366" s="265" t="s">
        <v>20</v>
      </c>
      <c r="H366" s="258"/>
    </row>
    <row r="367" hidden="1">
      <c r="A367" s="258">
        <v>1222.0</v>
      </c>
      <c r="B367" s="258">
        <v>1222.0</v>
      </c>
      <c r="C367" s="260">
        <v>374.0</v>
      </c>
      <c r="D367" s="260">
        <v>1222.0</v>
      </c>
      <c r="E367" s="263" t="str">
        <f>vlookup(B367,'Geotagging Master All-Training '!$A$2:$C$2474,2,false)</f>
        <v>#N/A</v>
      </c>
      <c r="F367" s="263" t="str">
        <f>vlookup(B367,'Geotagging Master All-Training '!$A$2:$C$2474,3,false)</f>
        <v>#N/A</v>
      </c>
      <c r="G367" s="265" t="s">
        <v>20</v>
      </c>
      <c r="H367" s="258"/>
    </row>
    <row r="368" hidden="1">
      <c r="A368" s="258">
        <v>1421.0</v>
      </c>
      <c r="B368" s="258">
        <v>1421.0</v>
      </c>
      <c r="C368" s="260">
        <v>375.0</v>
      </c>
      <c r="D368" s="260">
        <f>IFERROR(__xludf.DUMMYFUNCTION("if(B368&lt;=999,if(B368&lt;=99,IF(B368&lt;=9,join(,""000"",B368),join(,""00"",B368)),join(,""0"",B368)),B368)"),1421.0)</f>
        <v>1421</v>
      </c>
      <c r="E368" s="263" t="str">
        <f>vlookup(B368,'Geotagging Master All-Training '!$A$2:$C$2474,2,false)</f>
        <v>#N/A</v>
      </c>
      <c r="F368" s="263" t="str">
        <f>vlookup(B368,'Geotagging Master All-Training '!$A$2:$C$2474,3,false)</f>
        <v>#N/A</v>
      </c>
      <c r="G368" s="265" t="s">
        <v>20</v>
      </c>
      <c r="H368" s="258"/>
    </row>
    <row r="369" hidden="1">
      <c r="A369" s="258">
        <v>1260.0</v>
      </c>
      <c r="B369" s="258">
        <v>1260.0</v>
      </c>
      <c r="C369" s="260">
        <v>376.0</v>
      </c>
      <c r="D369" s="260">
        <f>IFERROR(__xludf.DUMMYFUNCTION("if(B369&lt;=999,if(B369&lt;=99,IF(B369&lt;=9,join(,""000"",B369),join(,""00"",B369)),join(,""0"",B369)),B369)"),1260.0)</f>
        <v>1260</v>
      </c>
      <c r="E369" s="263" t="str">
        <f>vlookup(B369,'Geotagging Master All-Training '!$A$2:$C$2474,2,false)</f>
        <v>#N/A</v>
      </c>
      <c r="F369" s="263" t="str">
        <f>vlookup(B369,'Geotagging Master All-Training '!$A$2:$C$2474,3,false)</f>
        <v>#N/A</v>
      </c>
      <c r="G369" s="265" t="s">
        <v>20</v>
      </c>
      <c r="H369" s="258"/>
    </row>
    <row r="370" hidden="1">
      <c r="A370" s="258">
        <v>36.0</v>
      </c>
      <c r="B370" s="259">
        <v>36.0</v>
      </c>
      <c r="C370" s="260">
        <v>377.0</v>
      </c>
      <c r="D370" s="260" t="str">
        <f>IFERROR(__xludf.DUMMYFUNCTION("if(B370&lt;=999,if(B370&lt;=99,IF(B370&lt;=9,join(,""000"",B370),join(,""00"",B370)),join(,""0"",B370)),B370)"),"0036")</f>
        <v>0036</v>
      </c>
      <c r="E370" s="263" t="str">
        <f>vlookup(B370,'Geotagging Master All-Training '!$A$2:$C$2474,2,false)</f>
        <v>#N/A</v>
      </c>
      <c r="F370" s="263" t="str">
        <f>vlookup(B370,'Geotagging Master All-Training '!$A$2:$C$2474,3,false)</f>
        <v>#N/A</v>
      </c>
      <c r="G370" s="265" t="s">
        <v>20</v>
      </c>
      <c r="H370" s="258"/>
    </row>
    <row r="371" hidden="1">
      <c r="A371" s="258">
        <v>796.0</v>
      </c>
      <c r="B371" s="259">
        <v>796.0</v>
      </c>
      <c r="C371" s="260">
        <v>378.0</v>
      </c>
      <c r="D371" s="260" t="str">
        <f>IFERROR(__xludf.DUMMYFUNCTION("if(B371&lt;=999,if(B371&lt;=99,IF(B371&lt;=9,join(,""000"",B371),join(,""00"",B371)),join(,""0"",B371)),B371)"),"0796")</f>
        <v>0796</v>
      </c>
      <c r="E371" s="263" t="str">
        <f>vlookup(B371,'Geotagging Master All-Training '!$A$2:$C$2474,2,false)</f>
        <v>#N/A</v>
      </c>
      <c r="F371" s="263" t="str">
        <f>vlookup(B371,'Geotagging Master All-Training '!$A$2:$C$2474,3,false)</f>
        <v>#N/A</v>
      </c>
      <c r="G371" s="265" t="s">
        <v>20</v>
      </c>
      <c r="H371" s="258"/>
    </row>
    <row r="372" hidden="1">
      <c r="A372" s="272">
        <v>250.0</v>
      </c>
      <c r="B372" s="272">
        <v>250.0</v>
      </c>
      <c r="C372" s="260">
        <v>379.0</v>
      </c>
      <c r="D372" s="273" t="str">
        <f>IFERROR(__xludf.DUMMYFUNCTION("if(B372&lt;=999,if(B372&lt;=99,IF(B372&lt;=9,join(,""000"",B372),join(,""00"",B372)),join(,""0"",B372)),B372)"),"0250")</f>
        <v>0250</v>
      </c>
      <c r="E372" s="263" t="str">
        <f>vlookup(B372,'Geotagging Master All-Training '!$A$2:$C$2474,2,false)</f>
        <v>#N/A</v>
      </c>
      <c r="F372" s="263" t="str">
        <f>vlookup(B372,'Geotagging Master All-Training '!$A$2:$C$2474,3,false)</f>
        <v>#N/A</v>
      </c>
      <c r="G372" s="276" t="s">
        <v>20</v>
      </c>
      <c r="H372" s="272"/>
    </row>
    <row r="373" hidden="1">
      <c r="A373" s="258">
        <v>1410.0</v>
      </c>
      <c r="B373" s="258">
        <v>1410.0</v>
      </c>
      <c r="C373" s="260">
        <v>380.0</v>
      </c>
      <c r="D373" s="260">
        <f>IFERROR(__xludf.DUMMYFUNCTION("if(B373&lt;=999,if(B373&lt;=99,IF(B373&lt;=9,join(,""000"",B373),join(,""00"",B373)),join(,""0"",B373)),B373)"),1410.0)</f>
        <v>1410</v>
      </c>
      <c r="E373" s="263" t="str">
        <f>vlookup(B373,'Geotagging Master All-Training '!$A$2:$C$2474,2,false)</f>
        <v>#N/A</v>
      </c>
      <c r="F373" s="263" t="str">
        <f>vlookup(B373,'Geotagging Master All-Training '!$A$2:$C$2474,3,false)</f>
        <v>#N/A</v>
      </c>
      <c r="G373" s="265" t="s">
        <v>20</v>
      </c>
      <c r="H373" s="258"/>
    </row>
    <row r="374" hidden="1">
      <c r="A374" s="258">
        <v>794.0</v>
      </c>
      <c r="B374" s="258">
        <v>794.0</v>
      </c>
      <c r="C374" s="260">
        <v>381.0</v>
      </c>
      <c r="D374" s="260" t="str">
        <f>IFERROR(__xludf.DUMMYFUNCTION("if(B374&lt;=999,if(B374&lt;=99,IF(B374&lt;=9,join(,""000"",B374),join(,""00"",B374)),join(,""0"",B374)),B374)"),"0794")</f>
        <v>0794</v>
      </c>
      <c r="E374" s="263" t="str">
        <f>vlookup(B374,'Geotagging Master All-Training '!$A$2:$C$2474,2,false)</f>
        <v>#N/A</v>
      </c>
      <c r="F374" s="263" t="str">
        <f>vlookup(B374,'Geotagging Master All-Training '!$A$2:$C$2474,3,false)</f>
        <v>#N/A</v>
      </c>
      <c r="G374" s="265" t="s">
        <v>20</v>
      </c>
      <c r="H374" s="258"/>
    </row>
    <row r="375" hidden="1">
      <c r="A375" s="272">
        <v>196.0</v>
      </c>
      <c r="B375" s="272">
        <v>196.0</v>
      </c>
      <c r="C375" s="273">
        <v>388.0</v>
      </c>
      <c r="D375" s="273" t="str">
        <f>IFERROR(__xludf.DUMMYFUNCTION("if(B375&lt;=999,if(B375&lt;=99,IF(B375&lt;=9,join(,""000"",B375),join(,""00"",B375)),join(,""0"",B375)),B375)"),"0196")</f>
        <v>0196</v>
      </c>
      <c r="E375" s="303" t="str">
        <f>vlookup(B375,'Geotagging Master All-Training '!$A$2:$C$2474,2,false)</f>
        <v>#N/A</v>
      </c>
      <c r="F375" s="303" t="str">
        <f>vlookup(B375,'Geotagging Master All-Training '!$A$2:$C$2474,3,false)</f>
        <v>#N/A</v>
      </c>
      <c r="G375" s="265" t="s">
        <v>20</v>
      </c>
      <c r="H375" s="258"/>
    </row>
    <row r="376" hidden="1">
      <c r="A376" s="258">
        <v>85.0</v>
      </c>
      <c r="B376" s="258">
        <v>85.0</v>
      </c>
      <c r="C376" s="260">
        <v>384.0</v>
      </c>
      <c r="D376" s="260" t="str">
        <f>IFERROR(__xludf.DUMMYFUNCTION("if(B376&lt;=999,if(B376&lt;=99,IF(B376&lt;=9,join(,""000"",B376),join(,""00"",B376)),join(,""0"",B376)),B376)"),"0085")</f>
        <v>0085</v>
      </c>
      <c r="E376" s="263" t="str">
        <f>vlookup(B376,'Geotagging Master All-Training '!$A$2:$C$2474,2,false)</f>
        <v>#N/A</v>
      </c>
      <c r="F376" s="263" t="str">
        <f>vlookup(B376,'Geotagging Master All-Training '!$A$2:$C$2474,3,false)</f>
        <v>#N/A</v>
      </c>
      <c r="G376" s="265" t="s">
        <v>20</v>
      </c>
      <c r="H376" s="258"/>
    </row>
    <row r="377" hidden="1">
      <c r="A377" s="258">
        <v>1078.0</v>
      </c>
      <c r="B377" s="259">
        <v>1078.0</v>
      </c>
      <c r="C377" s="260">
        <v>385.0</v>
      </c>
      <c r="D377" s="260">
        <f>IFERROR(__xludf.DUMMYFUNCTION("if(B377&lt;=999,if(B377&lt;=99,IF(B377&lt;=9,join(,""000"",B377),join(,""00"",B377)),join(,""0"",B377)),B377)"),1078.0)</f>
        <v>1078</v>
      </c>
      <c r="E377" s="263" t="str">
        <f>vlookup(B377,'Geotagging Master All-Training '!$A$2:$C$2474,2,false)</f>
        <v>#N/A</v>
      </c>
      <c r="F377" s="263" t="str">
        <f>vlookup(B377,'Geotagging Master All-Training '!$A$2:$C$2474,3,false)</f>
        <v>#N/A</v>
      </c>
      <c r="G377" s="265" t="s">
        <v>20</v>
      </c>
      <c r="H377" s="258"/>
    </row>
    <row r="378" hidden="1">
      <c r="A378" s="258">
        <v>1171.0</v>
      </c>
      <c r="B378" s="258">
        <v>1171.0</v>
      </c>
      <c r="C378" s="260">
        <v>386.0</v>
      </c>
      <c r="D378" s="260">
        <f>IFERROR(__xludf.DUMMYFUNCTION("if(B378&lt;=999,if(B378&lt;=99,IF(B378&lt;=9,join(,""000"",B378),join(,""00"",B378)),join(,""0"",B378)),B378)"),1171.0)</f>
        <v>1171</v>
      </c>
      <c r="E378" s="263" t="str">
        <f>vlookup(B378,'Geotagging Master All-Training '!$A$2:$C$2474,2,false)</f>
        <v>#N/A</v>
      </c>
      <c r="F378" s="263" t="str">
        <f>vlookup(B378,'Geotagging Master All-Training '!$A$2:$C$2474,3,false)</f>
        <v>#N/A</v>
      </c>
      <c r="G378" s="265" t="s">
        <v>20</v>
      </c>
      <c r="H378" s="258"/>
    </row>
    <row r="379" hidden="1">
      <c r="A379" s="258">
        <v>646.0</v>
      </c>
      <c r="B379" s="258">
        <v>646.0</v>
      </c>
      <c r="C379" s="260">
        <v>387.0</v>
      </c>
      <c r="D379" s="260" t="str">
        <f>IFERROR(__xludf.DUMMYFUNCTION("if(B379&lt;=999,if(B379&lt;=99,IF(B379&lt;=9,join(,""000"",B379),join(,""00"",B379)),join(,""0"",B379)),B379)"),"0646")</f>
        <v>0646</v>
      </c>
      <c r="E379" s="263" t="str">
        <f>vlookup(B379,'Geotagging Master All-Training '!$A$2:$C$2474,2,false)</f>
        <v>#N/A</v>
      </c>
      <c r="F379" s="263" t="str">
        <f>vlookup(B379,'Geotagging Master All-Training '!$A$2:$C$2474,3,false)</f>
        <v>#N/A</v>
      </c>
      <c r="G379" s="265" t="s">
        <v>20</v>
      </c>
      <c r="H379" s="258"/>
    </row>
    <row r="380" hidden="1">
      <c r="A380" s="272">
        <v>1262.0</v>
      </c>
      <c r="B380" s="272">
        <v>1262.0</v>
      </c>
      <c r="C380" s="273">
        <v>405.0</v>
      </c>
      <c r="D380" s="273">
        <f>IFERROR(__xludf.DUMMYFUNCTION("if(B380&lt;=999,if(B380&lt;=99,IF(B380&lt;=9,join(,""000"",B380),join(,""00"",B380)),join(,""0"",B380)),B380)"),1262.0)</f>
        <v>1262</v>
      </c>
      <c r="E380" s="303" t="str">
        <f>vlookup(B380,'Geotagging Master All-Training '!$A$2:$C$2474,2,false)</f>
        <v>#N/A</v>
      </c>
      <c r="F380" s="303" t="str">
        <f>vlookup(B380,'Geotagging Master All-Training '!$A$2:$C$2474,3,false)</f>
        <v>#N/A</v>
      </c>
      <c r="G380" s="276" t="s">
        <v>20</v>
      </c>
      <c r="H380" s="272"/>
    </row>
    <row r="381" hidden="1">
      <c r="A381" s="258">
        <v>65.0</v>
      </c>
      <c r="B381" s="258">
        <v>65.0</v>
      </c>
      <c r="C381" s="260">
        <v>389.0</v>
      </c>
      <c r="D381" s="260" t="str">
        <f>IFERROR(__xludf.DUMMYFUNCTION("if(B381&lt;=999,if(B381&lt;=99,IF(B381&lt;=9,join(,""000"",B381),join(,""00"",B381)),join(,""0"",B381)),B381)"),"0065")</f>
        <v>0065</v>
      </c>
      <c r="E381" s="263" t="str">
        <f>vlookup(B381,'Geotagging Master All-Training '!$A$2:$C$2474,2,false)</f>
        <v>#N/A</v>
      </c>
      <c r="F381" s="263" t="str">
        <f>vlookup(B381,'Geotagging Master All-Training '!$A$2:$C$2474,3,false)</f>
        <v>#N/A</v>
      </c>
      <c r="G381" s="265" t="s">
        <v>20</v>
      </c>
      <c r="H381" s="258"/>
    </row>
    <row r="382" hidden="1">
      <c r="A382" s="258">
        <v>88.0</v>
      </c>
      <c r="B382" s="259">
        <v>88.0</v>
      </c>
      <c r="C382" s="260">
        <v>390.0</v>
      </c>
      <c r="D382" s="260" t="str">
        <f>IFERROR(__xludf.DUMMYFUNCTION("if(B382&lt;=999,if(B382&lt;=99,IF(B382&lt;=9,join(,""000"",B382),join(,""00"",B382)),join(,""0"",B382)),B382)"),"0088")</f>
        <v>0088</v>
      </c>
      <c r="E382" s="263" t="str">
        <f>vlookup(B382,'Geotagging Master All-Training '!$A$2:$C$2474,2,false)</f>
        <v>#N/A</v>
      </c>
      <c r="F382" s="263" t="str">
        <f>vlookup(B382,'Geotagging Master All-Training '!$A$2:$C$2474,3,false)</f>
        <v>#N/A</v>
      </c>
      <c r="G382" s="265" t="s">
        <v>20</v>
      </c>
      <c r="H382" s="258"/>
    </row>
    <row r="383" hidden="1">
      <c r="A383" s="258">
        <v>632.0</v>
      </c>
      <c r="B383" s="258">
        <v>632.0</v>
      </c>
      <c r="C383" s="260">
        <v>391.0</v>
      </c>
      <c r="D383" s="260" t="str">
        <f>IFERROR(__xludf.DUMMYFUNCTION("if(B383&lt;=999,if(B383&lt;=99,IF(B383&lt;=9,join(,""000"",B383),join(,""00"",B383)),join(,""0"",B383)),B383)"),"0632")</f>
        <v>0632</v>
      </c>
      <c r="E383" s="263" t="str">
        <f>vlookup(B383,'Geotagging Master All-Training '!$A$2:$C$2474,2,false)</f>
        <v>#N/A</v>
      </c>
      <c r="F383" s="263" t="str">
        <f>vlookup(B383,'Geotagging Master All-Training '!$A$2:$C$2474,3,false)</f>
        <v>#N/A</v>
      </c>
      <c r="G383" s="265" t="s">
        <v>20</v>
      </c>
      <c r="H383" s="258"/>
    </row>
    <row r="384" hidden="1">
      <c r="A384" s="258">
        <v>800.0</v>
      </c>
      <c r="B384" s="258">
        <v>800.0</v>
      </c>
      <c r="C384" s="260">
        <v>392.0</v>
      </c>
      <c r="D384" s="260" t="str">
        <f>IFERROR(__xludf.DUMMYFUNCTION("if(B384&lt;=999,if(B384&lt;=99,IF(B384&lt;=9,join(,""000"",B384),join(,""00"",B384)),join(,""0"",B384)),B384)"),"0800")</f>
        <v>0800</v>
      </c>
      <c r="E384" s="263" t="str">
        <f>vlookup(B384,'Geotagging Master All-Training '!$A$2:$C$2474,2,false)</f>
        <v>#N/A</v>
      </c>
      <c r="F384" s="263" t="str">
        <f>vlookup(B384,'Geotagging Master All-Training '!$A$2:$C$2474,3,false)</f>
        <v>#N/A</v>
      </c>
      <c r="G384" s="265" t="s">
        <v>20</v>
      </c>
      <c r="H384" s="258"/>
    </row>
    <row r="385" hidden="1">
      <c r="A385" s="272">
        <v>619.0</v>
      </c>
      <c r="B385" s="272">
        <v>619.0</v>
      </c>
      <c r="C385" s="260">
        <v>393.0</v>
      </c>
      <c r="D385" s="273" t="str">
        <f>IFERROR(__xludf.DUMMYFUNCTION("if(B385&lt;=999,if(B385&lt;=99,IF(B385&lt;=9,join(,""000"",B385),join(,""00"",B385)),join(,""0"",B385)),B385)"),"0619")</f>
        <v>0619</v>
      </c>
      <c r="E385" s="263" t="str">
        <f>vlookup(B385,'Geotagging Master All-Training '!$A$2:$C$2474,2,false)</f>
        <v>#N/A</v>
      </c>
      <c r="F385" s="263" t="str">
        <f>vlookup(B385,'Geotagging Master All-Training '!$A$2:$C$2474,3,false)</f>
        <v>#N/A</v>
      </c>
      <c r="G385" s="276" t="s">
        <v>20</v>
      </c>
      <c r="H385" s="272"/>
    </row>
    <row r="386" hidden="1">
      <c r="A386" s="258">
        <v>325.0</v>
      </c>
      <c r="B386" s="258">
        <v>325.0</v>
      </c>
      <c r="C386" s="273">
        <v>31.0</v>
      </c>
      <c r="D386" s="260" t="str">
        <f>IFERROR(__xludf.DUMMYFUNCTION("if(B386&lt;=999,if(B386&lt;=99,IF(B386&lt;=9,join(,""000"",B386),join(,""00"",B386)),join(,""0"",B386)),B386)"),"0325")</f>
        <v>0325</v>
      </c>
      <c r="E386" s="263" t="str">
        <f>vlookup(B386,'Geotagging Master All-Training '!$A$2:$C$2474,2,false)</f>
        <v>#N/A</v>
      </c>
      <c r="F386" s="263" t="str">
        <f>vlookup(B386,'Geotagging Master All-Training '!$A$2:$C$2474,3,false)</f>
        <v>#N/A</v>
      </c>
      <c r="G386" s="265" t="s">
        <v>35</v>
      </c>
      <c r="H386" s="258"/>
    </row>
    <row r="387" hidden="1">
      <c r="A387" s="258">
        <v>639.0</v>
      </c>
      <c r="B387" s="258">
        <v>639.0</v>
      </c>
      <c r="C387" s="260">
        <v>395.0</v>
      </c>
      <c r="D387" s="260" t="str">
        <f>IFERROR(__xludf.DUMMYFUNCTION("if(B387&lt;=999,if(B387&lt;=99,IF(B387&lt;=9,join(,""000"",B387),join(,""00"",B387)),join(,""0"",B387)),B387)"),"0639")</f>
        <v>0639</v>
      </c>
      <c r="E387" s="263" t="str">
        <f>vlookup(B387,'Geotagging Master All-Training '!$A$2:$C$2474,2,false)</f>
        <v>#N/A</v>
      </c>
      <c r="F387" s="263" t="str">
        <f>vlookup(B387,'Geotagging Master All-Training '!$A$2:$C$2474,3,false)</f>
        <v>#N/A</v>
      </c>
      <c r="G387" s="265" t="s">
        <v>20</v>
      </c>
      <c r="H387" s="258"/>
    </row>
    <row r="388" hidden="1">
      <c r="A388" s="272">
        <v>830.0</v>
      </c>
      <c r="B388" s="272">
        <v>830.0</v>
      </c>
      <c r="C388" s="260">
        <v>396.0</v>
      </c>
      <c r="D388" s="273" t="str">
        <f>IFERROR(__xludf.DUMMYFUNCTION("if(B388&lt;=999,if(B388&lt;=99,IF(B388&lt;=9,join(,""000"",B388),join(,""00"",B388)),join(,""0"",B388)),B388)"),"0830")</f>
        <v>0830</v>
      </c>
      <c r="E388" s="263" t="str">
        <f>vlookup(B388,'Geotagging Master All-Training '!$A$2:$C$2474,2,false)</f>
        <v>#N/A</v>
      </c>
      <c r="F388" s="263" t="str">
        <f>vlookup(B388,'Geotagging Master All-Training '!$A$2:$C$2474,3,false)</f>
        <v>#N/A</v>
      </c>
      <c r="G388" s="276" t="s">
        <v>20</v>
      </c>
      <c r="H388" s="272"/>
    </row>
    <row r="389" hidden="1">
      <c r="A389" s="317">
        <v>1267.0</v>
      </c>
      <c r="B389" s="258">
        <v>1267.0</v>
      </c>
      <c r="C389" s="260">
        <v>397.0</v>
      </c>
      <c r="D389" s="260">
        <f>IFERROR(__xludf.DUMMYFUNCTION("if(B389&lt;=999,if(B389&lt;=99,IF(B389&lt;=9,join(,""000"",B389),join(,""00"",B389)),join(,""0"",B389)),B389)"),1267.0)</f>
        <v>1267</v>
      </c>
      <c r="E389" s="263" t="str">
        <f>vlookup(B389,'Geotagging Master All-Training '!$A$2:$C$2474,2,false)</f>
        <v>#N/A</v>
      </c>
      <c r="F389" s="263" t="str">
        <f>vlookup(B389,'Geotagging Master All-Training '!$A$2:$C$2474,3,false)</f>
        <v>#N/A</v>
      </c>
      <c r="G389" s="265" t="s">
        <v>20</v>
      </c>
      <c r="H389" s="258"/>
    </row>
    <row r="390" hidden="1">
      <c r="A390" s="258">
        <v>522.0</v>
      </c>
      <c r="B390" s="258">
        <v>522.0</v>
      </c>
      <c r="C390" s="260">
        <v>398.0</v>
      </c>
      <c r="D390" s="260" t="str">
        <f>IFERROR(__xludf.DUMMYFUNCTION("if(B390&lt;=999,if(B390&lt;=99,IF(B390&lt;=9,join(,""000"",B390),join(,""00"",B390)),join(,""0"",B390)),B390)"),"0522")</f>
        <v>0522</v>
      </c>
      <c r="E390" s="263" t="str">
        <f>vlookup(B390,'Geotagging Master All-Training '!$A$2:$C$2474,2,false)</f>
        <v>#N/A</v>
      </c>
      <c r="F390" s="263" t="str">
        <f>vlookup(B390,'Geotagging Master All-Training '!$A$2:$C$2474,3,false)</f>
        <v>#N/A</v>
      </c>
      <c r="G390" s="265" t="s">
        <v>20</v>
      </c>
      <c r="H390" s="258"/>
    </row>
    <row r="391" hidden="1">
      <c r="A391" s="258">
        <v>951.0</v>
      </c>
      <c r="B391" s="258">
        <v>951.0</v>
      </c>
      <c r="C391" s="260">
        <v>399.0</v>
      </c>
      <c r="D391" s="260" t="str">
        <f>IFERROR(__xludf.DUMMYFUNCTION("if(B391&lt;=999,if(B391&lt;=99,IF(B391&lt;=9,join(,""000"",B391),join(,""00"",B391)),join(,""0"",B391)),B391)"),"0951")</f>
        <v>0951</v>
      </c>
      <c r="E391" s="263" t="str">
        <f>vlookup(B391,'Geotagging Master All-Training '!$A$2:$C$2474,2,false)</f>
        <v>#N/A</v>
      </c>
      <c r="F391" s="263" t="str">
        <f>vlookup(B391,'Geotagging Master All-Training '!$A$2:$C$2474,3,false)</f>
        <v>#N/A</v>
      </c>
      <c r="G391" s="265" t="s">
        <v>20</v>
      </c>
      <c r="H391" s="258"/>
    </row>
    <row r="392" hidden="1">
      <c r="A392" s="272">
        <v>468.0</v>
      </c>
      <c r="B392" s="272">
        <v>468.0</v>
      </c>
      <c r="C392" s="260">
        <v>400.0</v>
      </c>
      <c r="D392" s="273" t="str">
        <f>IFERROR(__xludf.DUMMYFUNCTION("if(B392&lt;=999,if(B392&lt;=99,IF(B392&lt;=9,join(,""000"",B392),join(,""00"",B392)),join(,""0"",B392)),B392)"),"0468")</f>
        <v>0468</v>
      </c>
      <c r="E392" s="263" t="str">
        <f>vlookup(B392,'Geotagging Master All-Training '!$A$2:$C$2474,2,false)</f>
        <v>#N/A</v>
      </c>
      <c r="F392" s="263" t="str">
        <f>vlookup(B392,'Geotagging Master All-Training '!$A$2:$C$2474,3,false)</f>
        <v>#N/A</v>
      </c>
      <c r="G392" s="276" t="s">
        <v>20</v>
      </c>
      <c r="H392" s="272"/>
    </row>
    <row r="393" hidden="1">
      <c r="A393" s="258">
        <v>1070.0</v>
      </c>
      <c r="B393" s="258">
        <v>1070.0</v>
      </c>
      <c r="C393" s="260">
        <v>401.0</v>
      </c>
      <c r="D393" s="260">
        <f>IFERROR(__xludf.DUMMYFUNCTION("if(B393&lt;=999,if(B393&lt;=99,IF(B393&lt;=9,join(,""000"",B393),join(,""00"",B393)),join(,""0"",B393)),B393)"),1070.0)</f>
        <v>1070</v>
      </c>
      <c r="E393" s="263" t="str">
        <f>vlookup(B393,'Geotagging Master All-Training '!$A$2:$C$2474,2,false)</f>
        <v>#N/A</v>
      </c>
      <c r="F393" s="263" t="str">
        <f>vlookup(B393,'Geotagging Master All-Training '!$A$2:$C$2474,3,false)</f>
        <v>#N/A</v>
      </c>
      <c r="G393" s="265" t="s">
        <v>20</v>
      </c>
      <c r="H393" s="258"/>
    </row>
    <row r="394" hidden="1">
      <c r="A394" s="258">
        <v>1258.0</v>
      </c>
      <c r="B394" s="258">
        <v>1258.0</v>
      </c>
      <c r="C394" s="260">
        <v>402.0</v>
      </c>
      <c r="D394" s="260">
        <f>IFERROR(__xludf.DUMMYFUNCTION("if(B394&lt;=999,if(B394&lt;=99,IF(B394&lt;=9,join(,""000"",B394),join(,""00"",B394)),join(,""0"",B394)),B394)"),1258.0)</f>
        <v>1258</v>
      </c>
      <c r="E394" s="263" t="str">
        <f>vlookup(B394,'Geotagging Master All-Training '!$A$2:$C$2474,2,false)</f>
        <v>#N/A</v>
      </c>
      <c r="F394" s="263" t="str">
        <f>vlookup(B394,'Geotagging Master All-Training '!$A$2:$C$2474,3,false)</f>
        <v>#N/A</v>
      </c>
      <c r="G394" s="265" t="s">
        <v>20</v>
      </c>
      <c r="H394" s="258"/>
    </row>
    <row r="395" hidden="1">
      <c r="A395" s="258">
        <v>1190.0</v>
      </c>
      <c r="B395" s="259">
        <v>1190.0</v>
      </c>
      <c r="C395" s="260">
        <v>403.0</v>
      </c>
      <c r="D395" s="260">
        <f>IFERROR(__xludf.DUMMYFUNCTION("if(B395&lt;=999,if(B395&lt;=99,IF(B395&lt;=9,join(,""000"",B395),join(,""00"",B395)),join(,""0"",B395)),B395)"),1190.0)</f>
        <v>1190</v>
      </c>
      <c r="E395" s="263" t="str">
        <f>vlookup(B395,'Geotagging Master All-Training '!$A$2:$C$2474,2,false)</f>
        <v>#N/A</v>
      </c>
      <c r="F395" s="263" t="str">
        <f>vlookup(B395,'Geotagging Master All-Training '!$A$2:$C$2474,3,false)</f>
        <v>#N/A</v>
      </c>
      <c r="G395" s="265" t="s">
        <v>20</v>
      </c>
      <c r="H395" s="258"/>
    </row>
    <row r="396" hidden="1">
      <c r="A396" s="258">
        <v>1191.0</v>
      </c>
      <c r="B396" s="258">
        <v>1191.0</v>
      </c>
      <c r="C396" s="260">
        <v>404.0</v>
      </c>
      <c r="D396" s="260">
        <f>IFERROR(__xludf.DUMMYFUNCTION("if(B396&lt;=999,if(B396&lt;=99,IF(B396&lt;=9,join(,""000"",B396),join(,""00"",B396)),join(,""0"",B396)),B396)"),1191.0)</f>
        <v>1191</v>
      </c>
      <c r="E396" s="263" t="str">
        <f>vlookup(B396,'Geotagging Master All-Training '!$A$2:$C$2474,2,false)</f>
        <v>#N/A</v>
      </c>
      <c r="F396" s="263" t="str">
        <f>vlookup(B396,'Geotagging Master All-Training '!$A$2:$C$2474,3,false)</f>
        <v>#N/A</v>
      </c>
      <c r="G396" s="265" t="s">
        <v>20</v>
      </c>
      <c r="H396" s="258"/>
    </row>
    <row r="397" hidden="1">
      <c r="A397" s="272">
        <v>1273.0</v>
      </c>
      <c r="B397" s="272">
        <v>1273.0</v>
      </c>
      <c r="C397" s="273">
        <v>447.0</v>
      </c>
      <c r="D397" s="273">
        <f>IFERROR(__xludf.DUMMYFUNCTION("if(B397&lt;=999,if(B397&lt;=99,IF(B397&lt;=9,join(,""000"",B397),join(,""00"",B397)),join(,""0"",B397)),B397)"),1273.0)</f>
        <v>1273</v>
      </c>
      <c r="E397" s="303" t="str">
        <f>vlookup(B397,'Geotagging Master All-Training '!$A$2:$C$2474,2,false)</f>
        <v>#N/A</v>
      </c>
      <c r="F397" s="303" t="str">
        <f>vlookup(B397,'Geotagging Master All-Training '!$A$2:$C$2474,3,false)</f>
        <v>#N/A</v>
      </c>
      <c r="G397" s="276" t="s">
        <v>20</v>
      </c>
      <c r="H397" s="272"/>
    </row>
    <row r="398" hidden="1">
      <c r="A398" s="258">
        <v>1048.0</v>
      </c>
      <c r="B398" s="258">
        <v>1048.0</v>
      </c>
      <c r="C398" s="260">
        <v>406.0</v>
      </c>
      <c r="D398" s="260">
        <f>IFERROR(__xludf.DUMMYFUNCTION("if(B398&lt;=999,if(B398&lt;=99,IF(B398&lt;=9,join(,""000"",B398),join(,""00"",B398)),join(,""0"",B398)),B398)"),1048.0)</f>
        <v>1048</v>
      </c>
      <c r="E398" s="263" t="str">
        <f>vlookup(B398,'Geotagging Master All-Training '!$A$2:$C$2474,2,false)</f>
        <v>#N/A</v>
      </c>
      <c r="F398" s="263" t="str">
        <f>vlookup(B398,'Geotagging Master All-Training '!$A$2:$C$2474,3,false)</f>
        <v>#N/A</v>
      </c>
      <c r="G398" s="265" t="s">
        <v>20</v>
      </c>
      <c r="H398" s="258"/>
    </row>
    <row r="399" hidden="1">
      <c r="A399" s="258">
        <v>21.0</v>
      </c>
      <c r="B399" s="258">
        <v>21.0</v>
      </c>
      <c r="C399" s="260">
        <v>407.0</v>
      </c>
      <c r="D399" s="260" t="str">
        <f>IFERROR(__xludf.DUMMYFUNCTION("if(B399&lt;=999,if(B399&lt;=99,IF(B399&lt;=9,join(,""000"",B399),join(,""00"",B399)),join(,""0"",B399)),B399)"),"0021")</f>
        <v>0021</v>
      </c>
      <c r="E399" s="263" t="str">
        <f>vlookup(B399,'Geotagging Master All-Training '!$A$2:$C$2474,2,false)</f>
        <v>#N/A</v>
      </c>
      <c r="F399" s="263" t="str">
        <f>vlookup(B399,'Geotagging Master All-Training '!$A$2:$C$2474,3,false)</f>
        <v>#N/A</v>
      </c>
      <c r="G399" s="265" t="s">
        <v>20</v>
      </c>
      <c r="H399" s="258"/>
    </row>
    <row r="400" hidden="1">
      <c r="A400" s="258">
        <v>1293.0</v>
      </c>
      <c r="B400" s="258">
        <v>1293.0</v>
      </c>
      <c r="C400" s="260">
        <v>408.0</v>
      </c>
      <c r="D400" s="260">
        <f>IFERROR(__xludf.DUMMYFUNCTION("if(B400&lt;=999,if(B400&lt;=99,IF(B400&lt;=9,join(,""000"",B400),join(,""00"",B400)),join(,""0"",B400)),B400)"),1293.0)</f>
        <v>1293</v>
      </c>
      <c r="E400" s="263" t="str">
        <f>vlookup(B400,'Geotagging Master All-Training '!$A$2:$C$2474,2,false)</f>
        <v>#N/A</v>
      </c>
      <c r="F400" s="263" t="str">
        <f>vlookup(B400,'Geotagging Master All-Training '!$A$2:$C$2474,3,false)</f>
        <v>#N/A</v>
      </c>
      <c r="G400" s="265" t="s">
        <v>20</v>
      </c>
      <c r="H400" s="258"/>
    </row>
    <row r="401" hidden="1">
      <c r="A401" s="272">
        <v>1305.0</v>
      </c>
      <c r="B401" s="272">
        <v>1305.0</v>
      </c>
      <c r="C401" s="260">
        <v>409.0</v>
      </c>
      <c r="D401" s="273">
        <f>IFERROR(__xludf.DUMMYFUNCTION("if(B401&lt;=999,if(B401&lt;=99,IF(B401&lt;=9,join(,""000"",B401),join(,""00"",B401)),join(,""0"",B401)),B401)"),1305.0)</f>
        <v>1305</v>
      </c>
      <c r="E401" s="263" t="str">
        <f>vlookup(B401,'Geotagging Master All-Training '!$A$2:$C$2474,2,false)</f>
        <v>#N/A</v>
      </c>
      <c r="F401" s="263" t="str">
        <f>vlookup(B401,'Geotagging Master All-Training '!$A$2:$C$2474,3,false)</f>
        <v>#N/A</v>
      </c>
      <c r="G401" s="276" t="s">
        <v>20</v>
      </c>
      <c r="H401" s="272"/>
    </row>
    <row r="402" hidden="1">
      <c r="A402" s="258">
        <v>1253.0</v>
      </c>
      <c r="B402" s="258">
        <v>1253.0</v>
      </c>
      <c r="C402" s="260">
        <v>410.0</v>
      </c>
      <c r="D402" s="260">
        <f>IFERROR(__xludf.DUMMYFUNCTION("if(B402&lt;=999,if(B402&lt;=99,IF(B402&lt;=9,join(,""000"",B402),join(,""00"",B402)),join(,""0"",B402)),B402)"),1253.0)</f>
        <v>1253</v>
      </c>
      <c r="E402" s="263" t="str">
        <f>vlookup(B402,'Geotagging Master All-Training '!$A$2:$C$2474,2,false)</f>
        <v>#N/A</v>
      </c>
      <c r="F402" s="263" t="str">
        <f>vlookup(B402,'Geotagging Master All-Training '!$A$2:$C$2474,3,false)</f>
        <v>#N/A</v>
      </c>
      <c r="G402" s="265" t="s">
        <v>20</v>
      </c>
      <c r="H402" s="258"/>
    </row>
    <row r="403" hidden="1">
      <c r="A403" s="258">
        <v>1189.0</v>
      </c>
      <c r="B403" s="258">
        <v>1189.0</v>
      </c>
      <c r="C403" s="260">
        <v>411.0</v>
      </c>
      <c r="D403" s="260">
        <f>IFERROR(__xludf.DUMMYFUNCTION("if(B403&lt;=999,if(B403&lt;=99,IF(B403&lt;=9,join(,""000"",B403),join(,""00"",B403)),join(,""0"",B403)),B403)"),1189.0)</f>
        <v>1189</v>
      </c>
      <c r="E403" s="263" t="str">
        <f>vlookup(B403,'Geotagging Master All-Training '!$A$2:$C$2474,2,false)</f>
        <v>#N/A</v>
      </c>
      <c r="F403" s="263" t="str">
        <f>vlookup(B403,'Geotagging Master All-Training '!$A$2:$C$2474,3,false)</f>
        <v>#N/A</v>
      </c>
      <c r="G403" s="265" t="s">
        <v>20</v>
      </c>
      <c r="H403" s="258"/>
    </row>
    <row r="404" hidden="1">
      <c r="A404" s="272">
        <v>221.0</v>
      </c>
      <c r="B404" s="272">
        <v>221.0</v>
      </c>
      <c r="C404" s="260">
        <v>412.0</v>
      </c>
      <c r="D404" s="273" t="str">
        <f>IFERROR(__xludf.DUMMYFUNCTION("if(B404&lt;=999,if(B404&lt;=99,IF(B404&lt;=9,join(,""000"",B404),join(,""00"",B404)),join(,""0"",B404)),B404)"),"0221")</f>
        <v>0221</v>
      </c>
      <c r="E404" s="263" t="str">
        <f>vlookup(B404,'Geotagging Master All-Training '!$A$2:$C$2474,2,false)</f>
        <v>#N/A</v>
      </c>
      <c r="F404" s="263" t="str">
        <f>vlookup(B404,'Geotagging Master All-Training '!$A$2:$C$2474,3,false)</f>
        <v>#N/A</v>
      </c>
      <c r="G404" s="276" t="s">
        <v>20</v>
      </c>
      <c r="H404" s="272"/>
    </row>
    <row r="405" hidden="1">
      <c r="A405" s="258">
        <v>337.0</v>
      </c>
      <c r="B405" s="259">
        <v>337.0</v>
      </c>
      <c r="C405" s="260">
        <v>413.0</v>
      </c>
      <c r="D405" s="260" t="str">
        <f>IFERROR(__xludf.DUMMYFUNCTION("if(B405&lt;=999,if(B405&lt;=99,IF(B405&lt;=9,join(,""000"",B405),join(,""00"",B405)),join(,""0"",B405)),B405)"),"0337")</f>
        <v>0337</v>
      </c>
      <c r="E405" s="263" t="str">
        <f>vlookup(B405,'Geotagging Master All-Training '!$A$2:$C$2474,2,false)</f>
        <v>#N/A</v>
      </c>
      <c r="F405" s="263" t="str">
        <f>vlookup(B405,'Geotagging Master All-Training '!$A$2:$C$2474,3,false)</f>
        <v>#N/A</v>
      </c>
      <c r="G405" s="265" t="s">
        <v>20</v>
      </c>
      <c r="H405" s="258"/>
    </row>
    <row r="406" hidden="1">
      <c r="A406" s="258">
        <v>819.0</v>
      </c>
      <c r="B406" s="259">
        <v>819.0</v>
      </c>
      <c r="C406" s="260">
        <v>414.0</v>
      </c>
      <c r="D406" s="260" t="str">
        <f>IFERROR(__xludf.DUMMYFUNCTION("if(B406&lt;=999,if(B406&lt;=99,IF(B406&lt;=9,join(,""000"",B406),join(,""00"",B406)),join(,""0"",B406)),B406)"),"0819")</f>
        <v>0819</v>
      </c>
      <c r="E406" s="263" t="str">
        <f>vlookup(B406,'Geotagging Master All-Training '!$A$2:$C$2474,2,false)</f>
        <v>#N/A</v>
      </c>
      <c r="F406" s="263" t="str">
        <f>vlookup(B406,'Geotagging Master All-Training '!$A$2:$C$2474,3,false)</f>
        <v>#N/A</v>
      </c>
      <c r="G406" s="265" t="s">
        <v>20</v>
      </c>
      <c r="H406" s="258"/>
    </row>
    <row r="407" hidden="1">
      <c r="A407" s="258">
        <v>1050.0</v>
      </c>
      <c r="B407" s="258">
        <v>1050.0</v>
      </c>
      <c r="C407" s="260">
        <v>415.0</v>
      </c>
      <c r="D407" s="260">
        <f>IFERROR(__xludf.DUMMYFUNCTION("if(B407&lt;=999,if(B407&lt;=99,IF(B407&lt;=9,join(,""000"",B407),join(,""00"",B407)),join(,""0"",B407)),B407)"),1050.0)</f>
        <v>1050</v>
      </c>
      <c r="E407" s="263" t="str">
        <f>vlookup(B407,'Geotagging Master All-Training '!$A$2:$C$2474,2,false)</f>
        <v>#N/A</v>
      </c>
      <c r="F407" s="263" t="str">
        <f>vlookup(B407,'Geotagging Master All-Training '!$A$2:$C$2474,3,false)</f>
        <v>#N/A</v>
      </c>
      <c r="G407" s="265" t="s">
        <v>20</v>
      </c>
      <c r="H407" s="258"/>
    </row>
    <row r="408" hidden="1">
      <c r="A408" s="258">
        <v>17.0</v>
      </c>
      <c r="B408" s="258">
        <v>17.0</v>
      </c>
      <c r="C408" s="260">
        <v>416.0</v>
      </c>
      <c r="D408" s="260" t="str">
        <f>IFERROR(__xludf.DUMMYFUNCTION("if(B408&lt;=999,if(B408&lt;=99,IF(B408&lt;=9,join(,""000"",B408),join(,""00"",B408)),join(,""0"",B408)),B408)"),"0017")</f>
        <v>0017</v>
      </c>
      <c r="E408" s="263" t="str">
        <f>vlookup(B408,'Geotagging Master All-Training '!$A$2:$C$2474,2,false)</f>
        <v>#N/A</v>
      </c>
      <c r="F408" s="263" t="str">
        <f>vlookup(B408,'Geotagging Master All-Training '!$A$2:$C$2474,3,false)</f>
        <v>#N/A</v>
      </c>
      <c r="G408" s="265" t="s">
        <v>20</v>
      </c>
      <c r="H408" s="258"/>
    </row>
    <row r="409" hidden="1">
      <c r="A409" s="258">
        <v>340.0</v>
      </c>
      <c r="B409" s="258">
        <v>340.0</v>
      </c>
      <c r="C409" s="260">
        <v>417.0</v>
      </c>
      <c r="D409" s="260" t="str">
        <f>IFERROR(__xludf.DUMMYFUNCTION("if(B409&lt;=999,if(B409&lt;=99,IF(B409&lt;=9,join(,""000"",B409),join(,""00"",B409)),join(,""0"",B409)),B409)"),"0340")</f>
        <v>0340</v>
      </c>
      <c r="E409" s="263" t="str">
        <f>vlookup(B409,'Geotagging Master All-Training '!$A$2:$C$2474,2,false)</f>
        <v>#N/A</v>
      </c>
      <c r="F409" s="263" t="str">
        <f>vlookup(B409,'Geotagging Master All-Training '!$A$2:$C$2474,3,false)</f>
        <v>#N/A</v>
      </c>
      <c r="G409" s="265" t="s">
        <v>20</v>
      </c>
      <c r="H409" s="258"/>
    </row>
    <row r="410" hidden="1">
      <c r="A410" s="258">
        <v>1134.0</v>
      </c>
      <c r="B410" s="258">
        <v>1134.0</v>
      </c>
      <c r="C410" s="260">
        <v>418.0</v>
      </c>
      <c r="D410" s="260">
        <f>IFERROR(__xludf.DUMMYFUNCTION("if(B410&lt;=999,if(B410&lt;=99,IF(B410&lt;=9,join(,""000"",B410),join(,""00"",B410)),join(,""0"",B410)),B410)"),1134.0)</f>
        <v>1134</v>
      </c>
      <c r="E410" s="263" t="str">
        <f>vlookup(B410,'Geotagging Master All-Training '!$A$2:$C$2474,2,false)</f>
        <v>#N/A</v>
      </c>
      <c r="F410" s="263" t="str">
        <f>vlookup(B410,'Geotagging Master All-Training '!$A$2:$C$2474,3,false)</f>
        <v>#N/A</v>
      </c>
      <c r="G410" s="265" t="s">
        <v>20</v>
      </c>
      <c r="H410" s="258"/>
    </row>
    <row r="411" hidden="1">
      <c r="A411" s="258">
        <v>1198.0</v>
      </c>
      <c r="B411" s="258">
        <v>1198.0</v>
      </c>
      <c r="C411" s="260">
        <v>419.0</v>
      </c>
      <c r="D411" s="260">
        <f>IFERROR(__xludf.DUMMYFUNCTION("if(B411&lt;=999,if(B411&lt;=99,IF(B411&lt;=9,join(,""000"",B411),join(,""00"",B411)),join(,""0"",B411)),B411)"),1198.0)</f>
        <v>1198</v>
      </c>
      <c r="E411" s="263" t="str">
        <f>vlookup(B411,'Geotagging Master All-Training '!$A$2:$C$2474,2,false)</f>
        <v>#N/A</v>
      </c>
      <c r="F411" s="263" t="str">
        <f>vlookup(B411,'Geotagging Master All-Training '!$A$2:$C$2474,3,false)</f>
        <v>#N/A</v>
      </c>
      <c r="G411" s="265" t="s">
        <v>20</v>
      </c>
      <c r="H411" s="258"/>
    </row>
    <row r="412" hidden="1">
      <c r="A412" s="258">
        <v>18.0</v>
      </c>
      <c r="B412" s="258">
        <v>18.0</v>
      </c>
      <c r="C412" s="260">
        <v>420.0</v>
      </c>
      <c r="D412" s="260" t="str">
        <f>IFERROR(__xludf.DUMMYFUNCTION("if(B412&lt;=999,if(B412&lt;=99,IF(B412&lt;=9,join(,""000"",B412),join(,""00"",B412)),join(,""0"",B412)),B412)"),"0018")</f>
        <v>0018</v>
      </c>
      <c r="E412" s="263" t="str">
        <f>vlookup(B412,'Geotagging Master All-Training '!$A$2:$C$2474,2,false)</f>
        <v>#N/A</v>
      </c>
      <c r="F412" s="263" t="str">
        <f>vlookup(B412,'Geotagging Master All-Training '!$A$2:$C$2474,3,false)</f>
        <v>#N/A</v>
      </c>
      <c r="G412" s="265" t="s">
        <v>20</v>
      </c>
      <c r="H412" s="258"/>
    </row>
    <row r="413" hidden="1">
      <c r="A413" s="258">
        <v>818.0</v>
      </c>
      <c r="B413" s="258">
        <v>818.0</v>
      </c>
      <c r="C413" s="260">
        <v>421.0</v>
      </c>
      <c r="D413" s="260" t="str">
        <f>IFERROR(__xludf.DUMMYFUNCTION("if(B413&lt;=999,if(B413&lt;=99,IF(B413&lt;=9,join(,""000"",B413),join(,""00"",B413)),join(,""0"",B413)),B413)"),"0818")</f>
        <v>0818</v>
      </c>
      <c r="E413" s="263" t="str">
        <f>vlookup(B413,'Geotagging Master All-Training '!$A$2:$C$2474,2,false)</f>
        <v>#N/A</v>
      </c>
      <c r="F413" s="263" t="str">
        <f>vlookup(B413,'Geotagging Master All-Training '!$A$2:$C$2474,3,false)</f>
        <v>#N/A</v>
      </c>
      <c r="G413" s="265" t="s">
        <v>20</v>
      </c>
      <c r="H413" s="258"/>
    </row>
    <row r="414" hidden="1">
      <c r="A414" s="258">
        <v>1320.0</v>
      </c>
      <c r="B414" s="258">
        <v>1320.0</v>
      </c>
      <c r="C414" s="260">
        <v>422.0</v>
      </c>
      <c r="D414" s="260">
        <f>IFERROR(__xludf.DUMMYFUNCTION("if(B414&lt;=999,if(B414&lt;=99,IF(B414&lt;=9,join(,""000"",B414),join(,""00"",B414)),join(,""0"",B414)),B414)"),1320.0)</f>
        <v>1320</v>
      </c>
      <c r="E414" s="263" t="str">
        <f>vlookup(B414,'Geotagging Master All-Training '!$A$2:$C$2474,2,false)</f>
        <v>#N/A</v>
      </c>
      <c r="F414" s="263" t="str">
        <f>vlookup(B414,'Geotagging Master All-Training '!$A$2:$C$2474,3,false)</f>
        <v>#N/A</v>
      </c>
      <c r="G414" s="265" t="s">
        <v>20</v>
      </c>
      <c r="H414" s="258"/>
    </row>
    <row r="415" hidden="1">
      <c r="A415" s="258">
        <v>1026.0</v>
      </c>
      <c r="B415" s="258">
        <v>1026.0</v>
      </c>
      <c r="C415" s="260">
        <v>423.0</v>
      </c>
      <c r="D415" s="260">
        <f>IFERROR(__xludf.DUMMYFUNCTION("if(B415&lt;=999,if(B415&lt;=99,IF(B415&lt;=9,join(,""000"",B415),join(,""00"",B415)),join(,""0"",B415)),B415)"),1026.0)</f>
        <v>1026</v>
      </c>
      <c r="E415" s="263" t="str">
        <f>vlookup(B415,'Geotagging Master All-Training '!$A$2:$C$2474,2,false)</f>
        <v>#N/A</v>
      </c>
      <c r="F415" s="263" t="str">
        <f>vlookup(B415,'Geotagging Master All-Training '!$A$2:$C$2474,3,false)</f>
        <v>#N/A</v>
      </c>
      <c r="G415" s="265" t="s">
        <v>20</v>
      </c>
      <c r="H415" s="258"/>
    </row>
    <row r="416" hidden="1">
      <c r="A416" s="258">
        <v>1296.0</v>
      </c>
      <c r="B416" s="259">
        <v>1296.0</v>
      </c>
      <c r="C416" s="260">
        <v>424.0</v>
      </c>
      <c r="D416" s="260">
        <f>IFERROR(__xludf.DUMMYFUNCTION("if(B416&lt;=999,if(B416&lt;=99,IF(B416&lt;=9,join(,""000"",B416),join(,""00"",B416)),join(,""0"",B416)),B416)"),1296.0)</f>
        <v>1296</v>
      </c>
      <c r="E416" s="263" t="str">
        <f>vlookup(B416,'Geotagging Master All-Training '!$A$2:$C$2474,2,false)</f>
        <v>#N/A</v>
      </c>
      <c r="F416" s="263" t="str">
        <f>vlookup(B416,'Geotagging Master All-Training '!$A$2:$C$2474,3,false)</f>
        <v>#N/A</v>
      </c>
      <c r="G416" s="265" t="s">
        <v>20</v>
      </c>
      <c r="H416" s="258"/>
    </row>
    <row r="417" hidden="1">
      <c r="A417" s="258">
        <v>1081.0</v>
      </c>
      <c r="B417" s="258">
        <v>1081.0</v>
      </c>
      <c r="C417" s="260">
        <v>425.0</v>
      </c>
      <c r="D417" s="260">
        <f>IFERROR(__xludf.DUMMYFUNCTION("if(B417&lt;=999,if(B417&lt;=99,IF(B417&lt;=9,join(,""000"",B417),join(,""00"",B417)),join(,""0"",B417)),B417)"),1081.0)</f>
        <v>1081</v>
      </c>
      <c r="E417" s="263" t="str">
        <f>vlookup(B417,'Geotagging Master All-Training '!$A$2:$C$2474,2,false)</f>
        <v>#N/A</v>
      </c>
      <c r="F417" s="263" t="str">
        <f>vlookup(B417,'Geotagging Master All-Training '!$A$2:$C$2474,3,false)</f>
        <v>#N/A</v>
      </c>
      <c r="G417" s="265" t="s">
        <v>20</v>
      </c>
      <c r="H417" s="258"/>
    </row>
    <row r="418" hidden="1">
      <c r="A418" s="258">
        <v>1203.0</v>
      </c>
      <c r="B418" s="258">
        <v>1203.0</v>
      </c>
      <c r="C418" s="260">
        <v>426.0</v>
      </c>
      <c r="D418" s="260">
        <f>IFERROR(__xludf.DUMMYFUNCTION("if(B418&lt;=999,if(B418&lt;=99,IF(B418&lt;=9,join(,""000"",B418),join(,""00"",B418)),join(,""0"",B418)),B418)"),1203.0)</f>
        <v>1203</v>
      </c>
      <c r="E418" s="263" t="str">
        <f>vlookup(B418,'Geotagging Master All-Training '!$A$2:$C$2474,2,false)</f>
        <v>#N/A</v>
      </c>
      <c r="F418" s="263" t="str">
        <f>vlookup(B418,'Geotagging Master All-Training '!$A$2:$C$2474,3,false)</f>
        <v>#N/A</v>
      </c>
      <c r="G418" s="265" t="s">
        <v>20</v>
      </c>
      <c r="H418" s="258"/>
    </row>
    <row r="419" hidden="1">
      <c r="A419" s="258">
        <v>1225.0</v>
      </c>
      <c r="B419" s="259">
        <v>1225.0</v>
      </c>
      <c r="C419" s="260">
        <v>427.0</v>
      </c>
      <c r="D419" s="260">
        <f>IFERROR(__xludf.DUMMYFUNCTION("if(B419&lt;=999,if(B419&lt;=99,IF(B419&lt;=9,join(,""000"",B419),join(,""00"",B419)),join(,""0"",B419)),B419)"),1225.0)</f>
        <v>1225</v>
      </c>
      <c r="E419" s="263" t="str">
        <f>vlookup(B419,'Geotagging Master All-Training '!$A$2:$C$2474,2,false)</f>
        <v>#N/A</v>
      </c>
      <c r="F419" s="263" t="str">
        <f>vlookup(B419,'Geotagging Master All-Training '!$A$2:$C$2474,3,false)</f>
        <v>#N/A</v>
      </c>
      <c r="G419" s="265" t="s">
        <v>20</v>
      </c>
      <c r="H419" s="258"/>
    </row>
    <row r="420" hidden="1">
      <c r="A420" s="258">
        <v>807.0</v>
      </c>
      <c r="B420" s="258">
        <v>807.0</v>
      </c>
      <c r="C420" s="260">
        <v>428.0</v>
      </c>
      <c r="D420" s="260" t="str">
        <f>IFERROR(__xludf.DUMMYFUNCTION("if(B420&lt;=999,if(B420&lt;=99,IF(B420&lt;=9,join(,""000"",B420),join(,""00"",B420)),join(,""0"",B420)),B420)"),"0807")</f>
        <v>0807</v>
      </c>
      <c r="E420" s="263" t="str">
        <f>vlookup(B420,'Geotagging Master All-Training '!$A$2:$C$2474,2,false)</f>
        <v>#N/A</v>
      </c>
      <c r="F420" s="263" t="str">
        <f>vlookup(B420,'Geotagging Master All-Training '!$A$2:$C$2474,3,false)</f>
        <v>#N/A</v>
      </c>
      <c r="G420" s="265" t="s">
        <v>20</v>
      </c>
      <c r="H420" s="258"/>
    </row>
    <row r="421" hidden="1">
      <c r="A421" s="258">
        <v>345.0</v>
      </c>
      <c r="B421" s="258">
        <v>345.0</v>
      </c>
      <c r="C421" s="260">
        <v>429.0</v>
      </c>
      <c r="D421" s="260" t="str">
        <f>IFERROR(__xludf.DUMMYFUNCTION("if(B421&lt;=999,if(B421&lt;=99,IF(B421&lt;=9,join(,""000"",B421),join(,""00"",B421)),join(,""0"",B421)),B421)"),"0345")</f>
        <v>0345</v>
      </c>
      <c r="E421" s="263" t="str">
        <f>vlookup(B421,'Geotagging Master All-Training '!$A$2:$C$2474,2,false)</f>
        <v>#N/A</v>
      </c>
      <c r="F421" s="263" t="str">
        <f>vlookup(B421,'Geotagging Master All-Training '!$A$2:$C$2474,3,false)</f>
        <v>#N/A</v>
      </c>
      <c r="G421" s="265" t="s">
        <v>20</v>
      </c>
      <c r="H421" s="258"/>
    </row>
    <row r="422" hidden="1">
      <c r="A422" s="272">
        <v>1181.0</v>
      </c>
      <c r="B422" s="272">
        <v>1181.0</v>
      </c>
      <c r="C422" s="260">
        <v>430.0</v>
      </c>
      <c r="D422" s="273">
        <f>IFERROR(__xludf.DUMMYFUNCTION("if(B422&lt;=999,if(B422&lt;=99,IF(B422&lt;=9,join(,""000"",B422),join(,""00"",B422)),join(,""0"",B422)),B422)"),1181.0)</f>
        <v>1181</v>
      </c>
      <c r="E422" s="263" t="str">
        <f>vlookup(B422,'Geotagging Master All-Training '!$A$2:$C$2474,2,false)</f>
        <v>#N/A</v>
      </c>
      <c r="F422" s="263" t="str">
        <f>vlookup(B422,'Geotagging Master All-Training '!$A$2:$C$2474,3,false)</f>
        <v>#N/A</v>
      </c>
      <c r="G422" s="276" t="s">
        <v>20</v>
      </c>
      <c r="H422" s="272"/>
    </row>
    <row r="423" hidden="1">
      <c r="A423" s="258">
        <v>1059.0</v>
      </c>
      <c r="B423" s="258">
        <v>1059.0</v>
      </c>
      <c r="C423" s="260">
        <v>431.0</v>
      </c>
      <c r="D423" s="260">
        <f>IFERROR(__xludf.DUMMYFUNCTION("if(B423&lt;=999,if(B423&lt;=99,IF(B423&lt;=9,join(,""000"",B423),join(,""00"",B423)),join(,""0"",B423)),B423)"),1059.0)</f>
        <v>1059</v>
      </c>
      <c r="E423" s="263" t="str">
        <f>vlookup(B423,'Geotagging Master All-Training '!$A$2:$C$2474,2,false)</f>
        <v>#N/A</v>
      </c>
      <c r="F423" s="263" t="str">
        <f>vlookup(B423,'Geotagging Master All-Training '!$A$2:$C$2474,3,false)</f>
        <v>#N/A</v>
      </c>
      <c r="G423" s="265" t="s">
        <v>20</v>
      </c>
      <c r="H423" s="258"/>
    </row>
    <row r="424" hidden="1">
      <c r="A424" s="258">
        <v>979.0</v>
      </c>
      <c r="B424" s="259">
        <v>979.0</v>
      </c>
      <c r="C424" s="260">
        <v>432.0</v>
      </c>
      <c r="D424" s="260" t="str">
        <f>IFERROR(__xludf.DUMMYFUNCTION("if(B424&lt;=999,if(B424&lt;=99,IF(B424&lt;=9,join(,""000"",B424),join(,""00"",B424)),join(,""0"",B424)),B424)"),"0979")</f>
        <v>0979</v>
      </c>
      <c r="E424" s="263" t="str">
        <f>vlookup(B424,'Geotagging Master All-Training '!$A$2:$C$2474,2,false)</f>
        <v>#N/A</v>
      </c>
      <c r="F424" s="263" t="str">
        <f>vlookup(B424,'Geotagging Master All-Training '!$A$2:$C$2474,3,false)</f>
        <v>#N/A</v>
      </c>
      <c r="G424" s="265" t="s">
        <v>20</v>
      </c>
      <c r="H424" s="258"/>
    </row>
    <row r="425" hidden="1">
      <c r="A425" s="258">
        <v>1080.0</v>
      </c>
      <c r="B425" s="258">
        <v>1080.0</v>
      </c>
      <c r="C425" s="260">
        <v>433.0</v>
      </c>
      <c r="D425" s="261">
        <f>IFERROR(__xludf.DUMMYFUNCTION("if(B425&lt;=999,if(B425&lt;=99,IF(B425&lt;=9,join(,""000"",B425),join(,""00"",B425)),join(,""0"",B425)),B425)"),1080.0)</f>
        <v>1080</v>
      </c>
      <c r="E425" s="263" t="str">
        <f>vlookup(B425,'Geotagging Master All-Training '!$A$2:$C$2474,2,false)</f>
        <v>#N/A</v>
      </c>
      <c r="F425" s="263" t="str">
        <f>vlookup(B425,'Geotagging Master All-Training '!$A$2:$C$2474,3,false)</f>
        <v>#N/A</v>
      </c>
      <c r="G425" s="265" t="s">
        <v>20</v>
      </c>
      <c r="H425" s="258"/>
    </row>
    <row r="426" hidden="1">
      <c r="A426" s="258">
        <v>31.0</v>
      </c>
      <c r="B426" s="258">
        <v>31.0</v>
      </c>
      <c r="C426" s="260">
        <v>434.0</v>
      </c>
      <c r="D426" s="261" t="str">
        <f>IFERROR(__xludf.DUMMYFUNCTION("if(B426&lt;=999,if(B426&lt;=99,IF(B426&lt;=9,join(,""000"",B426),join(,""00"",B426)),join(,""0"",B426)),B426)"),"0031")</f>
        <v>0031</v>
      </c>
      <c r="E426" s="263" t="str">
        <f>vlookup(B426,'Geotagging Master All-Training '!$A$2:$C$2474,2,false)</f>
        <v>#N/A</v>
      </c>
      <c r="F426" s="263" t="str">
        <f>vlookup(B426,'Geotagging Master All-Training '!$A$2:$C$2474,3,false)</f>
        <v>#N/A</v>
      </c>
      <c r="G426" s="265" t="s">
        <v>20</v>
      </c>
      <c r="H426" s="258"/>
    </row>
    <row r="427" hidden="1">
      <c r="A427" s="258">
        <v>1318.0</v>
      </c>
      <c r="B427" s="258">
        <v>1318.0</v>
      </c>
      <c r="C427" s="260">
        <v>435.0</v>
      </c>
      <c r="D427" s="260">
        <f>IFERROR(__xludf.DUMMYFUNCTION("if(B427&lt;=999,if(B427&lt;=99,IF(B427&lt;=9,join(,""000"",B427),join(,""00"",B427)),join(,""0"",B427)),B427)"),1318.0)</f>
        <v>1318</v>
      </c>
      <c r="E427" s="263" t="str">
        <f>vlookup(B427,'Geotagging Master All-Training '!$A$2:$C$2474,2,false)</f>
        <v>#N/A</v>
      </c>
      <c r="F427" s="263" t="str">
        <f>vlookup(B427,'Geotagging Master All-Training '!$A$2:$C$2474,3,false)</f>
        <v>#N/A</v>
      </c>
      <c r="G427" s="265" t="s">
        <v>20</v>
      </c>
      <c r="H427" s="258"/>
    </row>
    <row r="428" hidden="1">
      <c r="A428" s="258">
        <v>1071.0</v>
      </c>
      <c r="B428" s="258">
        <v>1071.0</v>
      </c>
      <c r="C428" s="260">
        <v>436.0</v>
      </c>
      <c r="D428" s="260">
        <f>IFERROR(__xludf.DUMMYFUNCTION("if(B428&lt;=999,if(B428&lt;=99,IF(B428&lt;=9,join(,""000"",B428),join(,""00"",B428)),join(,""0"",B428)),B428)"),1071.0)</f>
        <v>1071</v>
      </c>
      <c r="E428" s="263" t="str">
        <f>vlookup(B428,'Geotagging Master All-Training '!$A$2:$C$2474,2,false)</f>
        <v>#N/A</v>
      </c>
      <c r="F428" s="263" t="str">
        <f>vlookup(B428,'Geotagging Master All-Training '!$A$2:$C$2474,3,false)</f>
        <v>#N/A</v>
      </c>
      <c r="G428" s="265" t="s">
        <v>20</v>
      </c>
      <c r="H428" s="258"/>
    </row>
    <row r="429" hidden="1">
      <c r="A429" s="258">
        <v>239.0</v>
      </c>
      <c r="B429" s="259">
        <v>239.0</v>
      </c>
      <c r="C429" s="260">
        <v>437.0</v>
      </c>
      <c r="D429" s="273" t="str">
        <f>IFERROR(__xludf.DUMMYFUNCTION("if(B433&lt;=999,if(B433&lt;=99,IF(B433&lt;=9,join(,""000"",B433),join(,""00"",B433)),join(,""0"",B433)),B433)"),"0739")</f>
        <v>0739</v>
      </c>
      <c r="E429" s="263" t="str">
        <f>vlookup(B429,'Geotagging Master All-Training '!$A$2:$C$2474,2,false)</f>
        <v>#N/A</v>
      </c>
      <c r="F429" s="263" t="str">
        <f>vlookup(B429,'Geotagging Master All-Training '!$A$2:$C$2474,3,false)</f>
        <v>#N/A</v>
      </c>
      <c r="G429" s="265" t="s">
        <v>20</v>
      </c>
      <c r="H429" s="258"/>
    </row>
    <row r="430" hidden="1">
      <c r="A430" s="258">
        <v>1252.0</v>
      </c>
      <c r="B430" s="259">
        <v>1252.0</v>
      </c>
      <c r="C430" s="260">
        <v>438.0</v>
      </c>
      <c r="D430" s="260">
        <f>IFERROR(__xludf.DUMMYFUNCTION("if(B430&lt;=999,if(B430&lt;=99,IF(B430&lt;=9,join(,""000"",B430),join(,""00"",B430)),join(,""0"",B430)),B430)"),1252.0)</f>
        <v>1252</v>
      </c>
      <c r="E430" s="263" t="str">
        <f>vlookup(B430,'Geotagging Master All-Training '!$A$2:$C$2474,2,false)</f>
        <v>#N/A</v>
      </c>
      <c r="F430" s="263" t="str">
        <f>vlookup(B430,'Geotagging Master All-Training '!$A$2:$C$2474,3,false)</f>
        <v>#N/A</v>
      </c>
      <c r="G430" s="265" t="s">
        <v>20</v>
      </c>
      <c r="H430" s="258"/>
    </row>
    <row r="431" ht="15.75" hidden="1" customHeight="1">
      <c r="A431" s="258">
        <v>1216.0</v>
      </c>
      <c r="B431" s="258">
        <v>1216.0</v>
      </c>
      <c r="C431" s="260">
        <v>439.0</v>
      </c>
      <c r="D431" s="260">
        <f>IFERROR(__xludf.DUMMYFUNCTION("if(B431&lt;=999,if(B431&lt;=99,IF(B431&lt;=9,join(,""000"",B431),join(,""00"",B431)),join(,""0"",B431)),B431)"),1216.0)</f>
        <v>1216</v>
      </c>
      <c r="E431" s="263" t="str">
        <f>vlookup(B431,'Geotagging Master All-Training '!$A$2:$C$2474,2,false)</f>
        <v>#N/A</v>
      </c>
      <c r="F431" s="263" t="str">
        <f>vlookup(B431,'Geotagging Master All-Training '!$A$2:$C$2474,3,false)</f>
        <v>#N/A</v>
      </c>
      <c r="G431" s="265" t="s">
        <v>20</v>
      </c>
      <c r="H431" s="258"/>
    </row>
    <row r="432" hidden="1">
      <c r="A432" s="258">
        <v>1406.0</v>
      </c>
      <c r="B432" s="259">
        <v>1406.0</v>
      </c>
      <c r="C432" s="260">
        <v>440.0</v>
      </c>
      <c r="D432" s="260">
        <f>IFERROR(__xludf.DUMMYFUNCTION("if(B432&lt;=999,if(B432&lt;=99,IF(B432&lt;=9,join(,""000"",B432),join(,""00"",B432)),join(,""0"",B432)),B432)"),1406.0)</f>
        <v>1406</v>
      </c>
      <c r="E432" s="263" t="str">
        <f>vlookup(B432,'Geotagging Master All-Training '!$A$2:$C$2474,2,false)</f>
        <v>#N/A</v>
      </c>
      <c r="F432" s="263" t="str">
        <f>vlookup(B432,'Geotagging Master All-Training '!$A$2:$C$2474,3,false)</f>
        <v>#N/A</v>
      </c>
      <c r="G432" s="265" t="s">
        <v>20</v>
      </c>
      <c r="H432" s="258"/>
    </row>
    <row r="433" hidden="1">
      <c r="A433" s="272">
        <v>739.0</v>
      </c>
      <c r="B433" s="272">
        <v>739.0</v>
      </c>
      <c r="C433" s="260">
        <v>441.0</v>
      </c>
      <c r="D433" s="531"/>
      <c r="E433" s="263" t="str">
        <f>vlookup(B433,'Geotagging Master All-Training '!$A$2:$C$2474,2,false)</f>
        <v>#N/A</v>
      </c>
      <c r="F433" s="263" t="str">
        <f>vlookup(B433,'Geotagging Master All-Training '!$A$2:$C$2474,3,false)</f>
        <v>#N/A</v>
      </c>
      <c r="G433" s="276" t="s">
        <v>20</v>
      </c>
      <c r="H433" s="272"/>
    </row>
    <row r="434" hidden="1">
      <c r="A434" s="258">
        <v>119.0</v>
      </c>
      <c r="B434" s="258">
        <v>119.0</v>
      </c>
      <c r="C434" s="260">
        <v>442.0</v>
      </c>
      <c r="D434" s="260" t="str">
        <f>IFERROR(__xludf.DUMMYFUNCTION("if(B434&lt;=999,if(B434&lt;=99,IF(B434&lt;=9,join(,""000"",B434),join(,""00"",B434)),join(,""0"",B434)),B434)"),"0119")</f>
        <v>0119</v>
      </c>
      <c r="E434" s="263" t="str">
        <f>vlookup(B434,'Geotagging Master All-Training '!$A$2:$C$2474,2,false)</f>
        <v>#N/A</v>
      </c>
      <c r="F434" s="263" t="str">
        <f>vlookup(B434,'Geotagging Master All-Training '!$A$2:$C$2474,3,false)</f>
        <v>#N/A</v>
      </c>
      <c r="G434" s="265" t="s">
        <v>20</v>
      </c>
      <c r="H434" s="258"/>
    </row>
    <row r="435" hidden="1">
      <c r="A435" s="258">
        <v>87.0</v>
      </c>
      <c r="B435" s="258">
        <v>87.0</v>
      </c>
      <c r="C435" s="260">
        <v>443.0</v>
      </c>
      <c r="D435" s="260" t="str">
        <f>IFERROR(__xludf.DUMMYFUNCTION("if(B435&lt;=999,if(B435&lt;=99,IF(B435&lt;=9,join(,""000"",B435),join(,""00"",B435)),join(,""0"",B435)),B435)"),"0087")</f>
        <v>0087</v>
      </c>
      <c r="E435" s="263" t="str">
        <f>vlookup(B435,'Geotagging Master All-Training '!$A$2:$C$2474,2,false)</f>
        <v>#N/A</v>
      </c>
      <c r="F435" s="263" t="str">
        <f>vlookup(B435,'Geotagging Master All-Training '!$A$2:$C$2474,3,false)</f>
        <v>#N/A</v>
      </c>
      <c r="G435" s="265" t="s">
        <v>20</v>
      </c>
      <c r="H435" s="258"/>
    </row>
    <row r="436" hidden="1">
      <c r="A436" s="258">
        <v>1280.0</v>
      </c>
      <c r="B436" s="258">
        <v>1280.0</v>
      </c>
      <c r="C436" s="260">
        <v>444.0</v>
      </c>
      <c r="D436" s="260">
        <f>IFERROR(__xludf.DUMMYFUNCTION("if(B436&lt;=999,if(B436&lt;=99,IF(B436&lt;=9,join(,""000"",B436),join(,""00"",B436)),join(,""0"",B436)),B436)"),1280.0)</f>
        <v>1280</v>
      </c>
      <c r="E436" s="263" t="str">
        <f>vlookup(B436,'Geotagging Master All-Training '!$A$2:$C$2474,2,false)</f>
        <v>#N/A</v>
      </c>
      <c r="F436" s="263" t="str">
        <f>vlookup(B436,'Geotagging Master All-Training '!$A$2:$C$2474,3,false)</f>
        <v>#N/A</v>
      </c>
      <c r="G436" s="265" t="s">
        <v>20</v>
      </c>
      <c r="H436" s="258"/>
    </row>
    <row r="437" hidden="1">
      <c r="A437" s="258">
        <v>251.0</v>
      </c>
      <c r="B437" s="258">
        <v>251.0</v>
      </c>
      <c r="C437" s="260">
        <v>445.0</v>
      </c>
      <c r="D437" s="260" t="str">
        <f>IFERROR(__xludf.DUMMYFUNCTION("if(B437&lt;=999,if(B437&lt;=99,IF(B437&lt;=9,join(,""000"",B437),join(,""00"",B437)),join(,""0"",B437)),B437)"),"0251")</f>
        <v>0251</v>
      </c>
      <c r="E437" s="263" t="str">
        <f>vlookup(B437,'Geotagging Master All-Training '!$A$2:$C$2474,2,false)</f>
        <v>#N/A</v>
      </c>
      <c r="F437" s="263" t="str">
        <f>vlookup(B437,'Geotagging Master All-Training '!$A$2:$C$2474,3,false)</f>
        <v>#N/A</v>
      </c>
      <c r="G437" s="265" t="s">
        <v>20</v>
      </c>
      <c r="H437" s="258"/>
    </row>
    <row r="438" hidden="1">
      <c r="A438" s="258">
        <v>1197.0</v>
      </c>
      <c r="B438" s="258">
        <v>1197.0</v>
      </c>
      <c r="C438" s="260">
        <v>446.0</v>
      </c>
      <c r="D438" s="260">
        <f>IFERROR(__xludf.DUMMYFUNCTION("if(B438&lt;=999,if(B438&lt;=99,IF(B438&lt;=9,join(,""000"",B438),join(,""00"",B438)),join(,""0"",B438)),B438)"),1197.0)</f>
        <v>1197</v>
      </c>
      <c r="E438" s="263" t="str">
        <f>vlookup(B438,'Geotagging Master All-Training '!$A$2:$C$2474,2,false)</f>
        <v>#N/A</v>
      </c>
      <c r="F438" s="263" t="str">
        <f>vlookup(B438,'Geotagging Master All-Training '!$A$2:$C$2474,3,false)</f>
        <v>#N/A</v>
      </c>
      <c r="G438" s="265" t="s">
        <v>20</v>
      </c>
      <c r="H438" s="258"/>
    </row>
    <row r="439" hidden="1">
      <c r="A439" s="258">
        <v>518.0</v>
      </c>
      <c r="B439" s="258">
        <v>518.0</v>
      </c>
      <c r="C439" s="260">
        <v>449.0</v>
      </c>
      <c r="D439" s="260" t="str">
        <f>IFERROR(__xludf.DUMMYFUNCTION("if(B439&lt;=999,if(B439&lt;=99,IF(B439&lt;=9,join(,""000"",B439),join(,""00"",B439)),join(,""0"",B439)),B439)"),"0518")</f>
        <v>0518</v>
      </c>
      <c r="E439" s="263" t="str">
        <f>vlookup(B439,'Geotagging Master All-Training '!$A$2:$C$2474,2,false)</f>
        <v>#N/A</v>
      </c>
      <c r="F439" s="263" t="str">
        <f>vlookup(B439,'Geotagging Master All-Training '!$A$2:$C$2474,3,false)</f>
        <v>#N/A</v>
      </c>
      <c r="G439" s="265" t="s">
        <v>20</v>
      </c>
      <c r="H439" s="258"/>
    </row>
    <row r="440" hidden="1">
      <c r="A440" s="258">
        <v>338.0</v>
      </c>
      <c r="B440" s="258">
        <v>338.0</v>
      </c>
      <c r="C440" s="260">
        <v>450.0</v>
      </c>
      <c r="D440" s="260" t="str">
        <f>IFERROR(__xludf.DUMMYFUNCTION("if(B440&lt;=999,if(B440&lt;=99,IF(B440&lt;=9,join(,""000"",B440),join(,""00"",B440)),join(,""0"",B440)),B440)"),"0338")</f>
        <v>0338</v>
      </c>
      <c r="E440" s="263" t="str">
        <f>vlookup(B440,'Geotagging Master All-Training '!$A$2:$C$2474,2,false)</f>
        <v>#N/A</v>
      </c>
      <c r="F440" s="263" t="str">
        <f>vlookup(B440,'Geotagging Master All-Training '!$A$2:$C$2474,3,false)</f>
        <v>#N/A</v>
      </c>
      <c r="G440" s="265" t="s">
        <v>20</v>
      </c>
      <c r="H440" s="258"/>
    </row>
    <row r="441" hidden="1">
      <c r="A441" s="258">
        <v>1374.0</v>
      </c>
      <c r="B441" s="258">
        <v>1374.0</v>
      </c>
      <c r="C441" s="260">
        <v>451.0</v>
      </c>
      <c r="D441" s="260">
        <f>IFERROR(__xludf.DUMMYFUNCTION("if(B441&lt;=999,if(B441&lt;=99,IF(B441&lt;=9,join(,""000"",B441),join(,""00"",B441)),join(,""0"",B441)),B441)"),1374.0)</f>
        <v>1374</v>
      </c>
      <c r="E441" s="263" t="str">
        <f>vlookup(B441,'Geotagging Master All-Training '!$A$2:$C$2474,2,false)</f>
        <v>#N/A</v>
      </c>
      <c r="F441" s="263" t="str">
        <f>vlookup(B441,'Geotagging Master All-Training '!$A$2:$C$2474,3,false)</f>
        <v>#N/A</v>
      </c>
      <c r="G441" s="265" t="s">
        <v>20</v>
      </c>
      <c r="H441" s="258"/>
    </row>
    <row r="442" hidden="1">
      <c r="A442" s="258">
        <v>1286.0</v>
      </c>
      <c r="B442" s="258">
        <v>1286.0</v>
      </c>
      <c r="C442" s="260">
        <v>452.0</v>
      </c>
      <c r="D442" s="260">
        <f>IFERROR(__xludf.DUMMYFUNCTION("if(B442&lt;=999,if(B442&lt;=99,IF(B442&lt;=9,join(,""000"",B442),join(,""00"",B442)),join(,""0"",B442)),B442)"),1286.0)</f>
        <v>1286</v>
      </c>
      <c r="E442" s="263" t="str">
        <f>vlookup(B442,'Geotagging Master All-Training '!$A$2:$C$2474,2,false)</f>
        <v>#N/A</v>
      </c>
      <c r="F442" s="263" t="str">
        <f>vlookup(B442,'Geotagging Master All-Training '!$A$2:$C$2474,3,false)</f>
        <v>#N/A</v>
      </c>
      <c r="G442" s="265" t="s">
        <v>20</v>
      </c>
      <c r="H442" s="258"/>
    </row>
    <row r="443" hidden="1">
      <c r="A443" s="258">
        <v>1399.0</v>
      </c>
      <c r="B443" s="259">
        <v>1399.0</v>
      </c>
      <c r="C443" s="260">
        <v>453.0</v>
      </c>
      <c r="D443" s="260">
        <f>IFERROR(__xludf.DUMMYFUNCTION("if(B443&lt;=999,if(B443&lt;=99,IF(B443&lt;=9,join(,""000"",B443),join(,""00"",B443)),join(,""0"",B443)),B443)"),1399.0)</f>
        <v>1399</v>
      </c>
      <c r="E443" s="263" t="str">
        <f>vlookup(B443,'Geotagging Master All-Training '!$A$2:$C$2474,2,false)</f>
        <v>#N/A</v>
      </c>
      <c r="F443" s="263" t="str">
        <f>vlookup(B443,'Geotagging Master All-Training '!$A$2:$C$2474,3,false)</f>
        <v>#N/A</v>
      </c>
      <c r="G443" s="265" t="s">
        <v>20</v>
      </c>
      <c r="H443" s="258"/>
    </row>
    <row r="444" hidden="1">
      <c r="A444" s="258">
        <v>1153.0</v>
      </c>
      <c r="B444" s="258">
        <v>1153.0</v>
      </c>
      <c r="C444" s="260">
        <v>454.0</v>
      </c>
      <c r="D444" s="260">
        <f>IFERROR(__xludf.DUMMYFUNCTION("if(B444&lt;=999,if(B444&lt;=99,IF(B444&lt;=9,join(,""000"",B444),join(,""00"",B444)),join(,""0"",B444)),B444)"),1153.0)</f>
        <v>1153</v>
      </c>
      <c r="E444" s="263" t="str">
        <f>vlookup(B444,'Geotagging Master All-Training '!$A$2:$C$2474,2,false)</f>
        <v>#N/A</v>
      </c>
      <c r="F444" s="263" t="str">
        <f>vlookup(B444,'Geotagging Master All-Training '!$A$2:$C$2474,3,false)</f>
        <v>#N/A</v>
      </c>
      <c r="G444" s="265" t="s">
        <v>20</v>
      </c>
      <c r="H444" s="258"/>
    </row>
    <row r="445" hidden="1">
      <c r="A445" s="272">
        <v>1371.0</v>
      </c>
      <c r="B445" s="272">
        <v>1371.0</v>
      </c>
      <c r="C445" s="260">
        <v>456.0</v>
      </c>
      <c r="D445" s="273">
        <f>IFERROR(__xludf.DUMMYFUNCTION("if(B445&lt;=999,if(B445&lt;=99,IF(B445&lt;=9,join(,""000"",B445),join(,""00"",B445)),join(,""0"",B445)),B445)"),1371.0)</f>
        <v>1371</v>
      </c>
      <c r="E445" s="263" t="str">
        <f>vlookup(B445,'Geotagging Master All-Training '!$A$2:$C$2474,2,false)</f>
        <v>#N/A</v>
      </c>
      <c r="F445" s="263" t="str">
        <f>vlookup(B445,'Geotagging Master All-Training '!$A$2:$C$2474,3,false)</f>
        <v>#N/A</v>
      </c>
      <c r="G445" s="276" t="s">
        <v>20</v>
      </c>
      <c r="H445" s="272"/>
    </row>
    <row r="446" hidden="1">
      <c r="A446" s="258">
        <v>1325.0</v>
      </c>
      <c r="B446" s="258">
        <v>1325.0</v>
      </c>
      <c r="C446" s="260">
        <v>457.0</v>
      </c>
      <c r="D446" s="260">
        <f>IFERROR(__xludf.DUMMYFUNCTION("if(B446&lt;=999,if(B446&lt;=99,IF(B446&lt;=9,join(,""000"",B446),join(,""00"",B446)),join(,""0"",B446)),B446)"),1325.0)</f>
        <v>1325</v>
      </c>
      <c r="E446" s="263" t="str">
        <f>vlookup(B446,'Geotagging Master All-Training '!$A$2:$C$2474,2,false)</f>
        <v>#N/A</v>
      </c>
      <c r="F446" s="263" t="str">
        <f>vlookup(B446,'Geotagging Master All-Training '!$A$2:$C$2474,3,false)</f>
        <v>#N/A</v>
      </c>
      <c r="G446" s="265" t="s">
        <v>20</v>
      </c>
      <c r="H446" s="258"/>
    </row>
    <row r="447" hidden="1">
      <c r="A447" s="258">
        <v>1027.0</v>
      </c>
      <c r="B447" s="258">
        <v>1027.0</v>
      </c>
      <c r="C447" s="260">
        <v>458.0</v>
      </c>
      <c r="D447" s="260">
        <f>IFERROR(__xludf.DUMMYFUNCTION("if(B447&lt;=999,if(B447&lt;=99,IF(B447&lt;=9,join(,""000"",B447),join(,""00"",B447)),join(,""0"",B447)),B447)"),1027.0)</f>
        <v>1027</v>
      </c>
      <c r="E447" s="263" t="str">
        <f>vlookup(B447,'Geotagging Master All-Training '!$A$2:$C$2474,2,false)</f>
        <v>#N/A</v>
      </c>
      <c r="F447" s="263" t="str">
        <f>vlookup(B447,'Geotagging Master All-Training '!$A$2:$C$2474,3,false)</f>
        <v>#N/A</v>
      </c>
      <c r="G447" s="319" t="s">
        <v>20</v>
      </c>
      <c r="H447" s="532"/>
    </row>
    <row r="448" hidden="1">
      <c r="A448" s="258">
        <v>531.0</v>
      </c>
      <c r="B448" s="258">
        <v>531.0</v>
      </c>
      <c r="C448" s="260">
        <v>459.0</v>
      </c>
      <c r="D448" s="260" t="str">
        <f>IFERROR(__xludf.DUMMYFUNCTION("if(B448&lt;=999,if(B448&lt;=99,IF(B448&lt;=9,join(,""000"",B448),join(,""00"",B448)),join(,""0"",B448)),B448)"),"0531")</f>
        <v>0531</v>
      </c>
      <c r="E448" s="263" t="str">
        <f>vlookup(B448,'Geotagging Master All-Training '!$A$2:$C$2474,2,false)</f>
        <v>#N/A</v>
      </c>
      <c r="F448" s="263" t="str">
        <f>vlookup(B448,'Geotagging Master All-Training '!$A$2:$C$2474,3,false)</f>
        <v>#N/A</v>
      </c>
      <c r="G448" s="265" t="s">
        <v>20</v>
      </c>
      <c r="H448" s="258"/>
    </row>
    <row r="449" hidden="1">
      <c r="A449" s="258">
        <v>674.0</v>
      </c>
      <c r="B449" s="258">
        <v>674.0</v>
      </c>
      <c r="C449" s="260">
        <v>460.0</v>
      </c>
      <c r="D449" s="260" t="str">
        <f>IFERROR(__xludf.DUMMYFUNCTION("if(B449&lt;=999,if(B449&lt;=99,IF(B449&lt;=9,join(,""000"",B449),join(,""00"",B449)),join(,""0"",B449)),B449)"),"0674")</f>
        <v>0674</v>
      </c>
      <c r="E449" s="263" t="str">
        <f>vlookup(B449,'Geotagging Master All-Training '!$A$2:$C$2474,2,false)</f>
        <v>#N/A</v>
      </c>
      <c r="F449" s="263" t="str">
        <f>vlookup(B449,'Geotagging Master All-Training '!$A$2:$C$2474,3,false)</f>
        <v>#N/A</v>
      </c>
      <c r="G449" s="265" t="s">
        <v>20</v>
      </c>
      <c r="H449" s="258"/>
    </row>
    <row r="450" hidden="1">
      <c r="A450" s="258">
        <v>1117.0</v>
      </c>
      <c r="B450" s="258">
        <v>1117.0</v>
      </c>
      <c r="C450" s="260">
        <v>461.0</v>
      </c>
      <c r="D450" s="260">
        <f>IFERROR(__xludf.DUMMYFUNCTION("if(B450&lt;=999,if(B450&lt;=99,IF(B450&lt;=9,join(,""000"",B450),join(,""00"",B450)),join(,""0"",B450)),B450)"),1117.0)</f>
        <v>1117</v>
      </c>
      <c r="E450" s="263" t="str">
        <f>vlookup(B450,'Geotagging Master All-Training '!$A$2:$C$2474,2,false)</f>
        <v>#N/A</v>
      </c>
      <c r="F450" s="263" t="str">
        <f>vlookup(B450,'Geotagging Master All-Training '!$A$2:$C$2474,3,false)</f>
        <v>#N/A</v>
      </c>
      <c r="G450" s="265" t="s">
        <v>20</v>
      </c>
      <c r="H450" s="258"/>
    </row>
    <row r="451" hidden="1">
      <c r="A451" s="258">
        <v>828.0</v>
      </c>
      <c r="B451" s="258">
        <v>828.0</v>
      </c>
      <c r="C451" s="260">
        <v>462.0</v>
      </c>
      <c r="D451" s="260" t="str">
        <f>IFERROR(__xludf.DUMMYFUNCTION("if(B451&lt;=999,if(B451&lt;=99,IF(B451&lt;=9,join(,""000"",B451),join(,""00"",B451)),join(,""0"",B451)),B451)"),"0828")</f>
        <v>0828</v>
      </c>
      <c r="E451" s="263" t="str">
        <f>vlookup(B451,'Geotagging Master All-Training '!$A$2:$C$2474,2,false)</f>
        <v>#N/A</v>
      </c>
      <c r="F451" s="263" t="str">
        <f>vlookup(B451,'Geotagging Master All-Training '!$A$2:$C$2474,3,false)</f>
        <v>#N/A</v>
      </c>
      <c r="G451" s="265" t="s">
        <v>20</v>
      </c>
      <c r="H451" s="258"/>
    </row>
    <row r="452" hidden="1">
      <c r="A452" s="258">
        <v>52.0</v>
      </c>
      <c r="B452" s="259">
        <v>52.0</v>
      </c>
      <c r="C452" s="260">
        <v>463.0</v>
      </c>
      <c r="D452" s="260" t="str">
        <f>IFERROR(__xludf.DUMMYFUNCTION("if(B452&lt;=999,if(B452&lt;=99,IF(B452&lt;=9,join(,""000"",B452),join(,""00"",B452)),join(,""0"",B452)),B452)"),"0052")</f>
        <v>0052</v>
      </c>
      <c r="E452" s="263" t="str">
        <f>vlookup(B452,'Geotagging Master All-Training '!$A$2:$C$2474,2,false)</f>
        <v>#N/A</v>
      </c>
      <c r="F452" s="263" t="str">
        <f>vlookup(B452,'Geotagging Master All-Training '!$A$2:$C$2474,3,false)</f>
        <v>#N/A</v>
      </c>
      <c r="G452" s="265" t="s">
        <v>20</v>
      </c>
      <c r="H452" s="258"/>
    </row>
    <row r="453" hidden="1">
      <c r="A453" s="258">
        <v>33.0</v>
      </c>
      <c r="B453" s="258">
        <v>33.0</v>
      </c>
      <c r="C453" s="260">
        <v>464.0</v>
      </c>
      <c r="D453" s="260" t="str">
        <f>IFERROR(__xludf.DUMMYFUNCTION("if(B453&lt;=999,if(B453&lt;=99,IF(B453&lt;=9,join(,""000"",B453),join(,""00"",B453)),join(,""0"",B453)),B453)"),"0033")</f>
        <v>0033</v>
      </c>
      <c r="E453" s="263" t="str">
        <f>vlookup(B453,'Geotagging Master All-Training '!$A$2:$C$2474,2,false)</f>
        <v>#N/A</v>
      </c>
      <c r="F453" s="263" t="str">
        <f>vlookup(B453,'Geotagging Master All-Training '!$A$2:$C$2474,3,false)</f>
        <v>#N/A</v>
      </c>
      <c r="G453" s="265" t="s">
        <v>20</v>
      </c>
      <c r="H453" s="258"/>
    </row>
    <row r="454" hidden="1">
      <c r="A454" s="258">
        <v>1014.0</v>
      </c>
      <c r="B454" s="258">
        <v>1014.0</v>
      </c>
      <c r="C454" s="260">
        <v>465.0</v>
      </c>
      <c r="D454" s="260">
        <f>IFERROR(__xludf.DUMMYFUNCTION("if(B454&lt;=999,if(B454&lt;=99,IF(B454&lt;=9,join(,""000"",B454),join(,""00"",B454)),join(,""0"",B454)),B454)"),1014.0)</f>
        <v>1014</v>
      </c>
      <c r="E454" s="263" t="str">
        <f>vlookup(B454,'Geotagging Master All-Training '!$A$2:$C$2474,2,false)</f>
        <v>#N/A</v>
      </c>
      <c r="F454" s="263" t="str">
        <f>vlookup(B454,'Geotagging Master All-Training '!$A$2:$C$2474,3,false)</f>
        <v>#N/A</v>
      </c>
      <c r="G454" s="265" t="s">
        <v>20</v>
      </c>
      <c r="H454" s="258"/>
    </row>
    <row r="455" hidden="1">
      <c r="A455" s="258">
        <v>1183.0</v>
      </c>
      <c r="B455" s="259">
        <v>1183.0</v>
      </c>
      <c r="C455" s="260">
        <v>466.0</v>
      </c>
      <c r="D455" s="260">
        <f>IFERROR(__xludf.DUMMYFUNCTION("if(B455&lt;=999,if(B455&lt;=99,IF(B455&lt;=9,join(,""000"",B455),join(,""00"",B455)),join(,""0"",B455)),B455)"),1183.0)</f>
        <v>1183</v>
      </c>
      <c r="E455" s="263" t="str">
        <f>vlookup(B455,'Geotagging Master All-Training '!$A$2:$C$2474,2,false)</f>
        <v>#N/A</v>
      </c>
      <c r="F455" s="263" t="str">
        <f>vlookup(B455,'Geotagging Master All-Training '!$A$2:$C$2474,3,false)</f>
        <v>#N/A</v>
      </c>
      <c r="G455" s="265" t="s">
        <v>20</v>
      </c>
      <c r="H455" s="258"/>
    </row>
    <row r="456" hidden="1">
      <c r="A456" s="272">
        <v>1428.0</v>
      </c>
      <c r="B456" s="272">
        <v>1428.0</v>
      </c>
      <c r="C456" s="273">
        <v>470.0</v>
      </c>
      <c r="D456" s="273">
        <f>IFERROR(__xludf.DUMMYFUNCTION("if(B456&lt;=999,if(B456&lt;=99,IF(B456&lt;=9,join(,""000"",B456),join(,""00"",B456)),join(,""0"",B456)),B456)"),1428.0)</f>
        <v>1428</v>
      </c>
      <c r="E456" s="303" t="str">
        <f>vlookup(B456,'Geotagging Master All-Training '!$A$2:$C$2474,2,false)</f>
        <v>#N/A</v>
      </c>
      <c r="F456" s="303" t="str">
        <f>vlookup(B456,'Geotagging Master All-Training '!$A$2:$C$2474,3,false)</f>
        <v>#N/A</v>
      </c>
      <c r="G456" s="276" t="s">
        <v>20</v>
      </c>
      <c r="H456" s="272"/>
    </row>
    <row r="457" hidden="1">
      <c r="A457" s="258">
        <v>50.0</v>
      </c>
      <c r="B457" s="258">
        <v>50.0</v>
      </c>
      <c r="C457" s="273">
        <v>35.0</v>
      </c>
      <c r="D457" s="260" t="str">
        <f>IFERROR(__xludf.DUMMYFUNCTION("if(B457&lt;=999,if(B457&lt;=99,IF(B457&lt;=9,join(,""000"",B457),join(,""00"",B457)),join(,""0"",B457)),B457)"),"0050")</f>
        <v>0050</v>
      </c>
      <c r="E457" s="263" t="str">
        <f>vlookup(B457,'Geotagging Master All-Training '!$A$2:$C$2474,2,false)</f>
        <v>#N/A</v>
      </c>
      <c r="F457" s="263" t="str">
        <f>vlookup(B457,'Geotagging Master All-Training '!$A$2:$C$2474,3,false)</f>
        <v>#N/A</v>
      </c>
      <c r="G457" s="265" t="s">
        <v>35</v>
      </c>
      <c r="H457" s="258"/>
    </row>
    <row r="458" hidden="1">
      <c r="A458" s="258">
        <v>1370.0</v>
      </c>
      <c r="B458" s="258">
        <v>1370.0</v>
      </c>
      <c r="C458" s="260">
        <v>469.0</v>
      </c>
      <c r="D458" s="260">
        <f>IFERROR(__xludf.DUMMYFUNCTION("if(B458&lt;=999,if(B458&lt;=99,IF(B458&lt;=9,join(,""000"",B458),join(,""00"",B458)),join(,""0"",B458)),B458)"),1370.0)</f>
        <v>1370</v>
      </c>
      <c r="E458" s="263" t="str">
        <f>vlookup(B458,'Geotagging Master All-Training '!$A$2:$C$2474,2,false)</f>
        <v>#N/A</v>
      </c>
      <c r="F458" s="263" t="str">
        <f>vlookup(B458,'Geotagging Master All-Training '!$A$2:$C$2474,3,false)</f>
        <v>#N/A</v>
      </c>
      <c r="G458" s="265" t="s">
        <v>20</v>
      </c>
      <c r="H458" s="258"/>
    </row>
    <row r="459" hidden="1">
      <c r="A459" s="272">
        <v>1404.0</v>
      </c>
      <c r="B459" s="272">
        <v>1404.0</v>
      </c>
      <c r="C459" s="273">
        <v>495.0</v>
      </c>
      <c r="D459" s="273">
        <f>IFERROR(__xludf.DUMMYFUNCTION("if(B459&lt;=999,if(B459&lt;=99,IF(B459&lt;=9,join(,""000"",B459),join(,""00"",B459)),join(,""0"",B459)),B459)"),1404.0)</f>
        <v>1404</v>
      </c>
      <c r="E459" s="303" t="str">
        <f>vlookup(B459,'Geotagging Master All-Training '!$A$2:$C$2474,2,false)</f>
        <v>#N/A</v>
      </c>
      <c r="F459" s="303" t="str">
        <f>vlookup(B459,'Geotagging Master All-Training '!$A$2:$C$2474,3,false)</f>
        <v>#N/A</v>
      </c>
      <c r="G459" s="276" t="s">
        <v>20</v>
      </c>
      <c r="H459" s="272"/>
    </row>
    <row r="460" hidden="1">
      <c r="A460" s="258">
        <v>669.0</v>
      </c>
      <c r="B460" s="258">
        <v>669.0</v>
      </c>
      <c r="C460" s="260">
        <v>471.0</v>
      </c>
      <c r="D460" s="260" t="str">
        <f>IFERROR(__xludf.DUMMYFUNCTION("if(B460&lt;=999,if(B460&lt;=99,IF(B460&lt;=9,join(,""000"",B460),join(,""00"",B460)),join(,""0"",B460)),B460)"),"0669")</f>
        <v>0669</v>
      </c>
      <c r="E460" s="263" t="str">
        <f>vlookup(B460,'Geotagging Master All-Training '!$A$2:$C$2474,2,false)</f>
        <v>#N/A</v>
      </c>
      <c r="F460" s="263" t="str">
        <f>vlookup(B460,'Geotagging Master All-Training '!$A$2:$C$2474,3,false)</f>
        <v>#N/A</v>
      </c>
      <c r="G460" s="265" t="s">
        <v>20</v>
      </c>
      <c r="H460" s="258"/>
    </row>
    <row r="461" hidden="1">
      <c r="A461" s="258">
        <v>163.0</v>
      </c>
      <c r="B461" s="258">
        <v>163.0</v>
      </c>
      <c r="C461" s="260">
        <v>472.0</v>
      </c>
      <c r="D461" s="260" t="str">
        <f>IFERROR(__xludf.DUMMYFUNCTION("if(B461&lt;=999,if(B461&lt;=99,IF(B461&lt;=9,join(,""000"",B461),join(,""00"",B461)),join(,""0"",B461)),B461)"),"0163")</f>
        <v>0163</v>
      </c>
      <c r="E461" s="263" t="str">
        <f>vlookup(B461,'Geotagging Master All-Training '!$A$2:$C$2474,2,false)</f>
        <v>#N/A</v>
      </c>
      <c r="F461" s="263" t="str">
        <f>vlookup(B461,'Geotagging Master All-Training '!$A$2:$C$2474,3,false)</f>
        <v>#N/A</v>
      </c>
      <c r="G461" s="265" t="s">
        <v>20</v>
      </c>
      <c r="H461" s="258"/>
    </row>
    <row r="462" hidden="1">
      <c r="A462" s="258">
        <v>640.0</v>
      </c>
      <c r="B462" s="259">
        <v>640.0</v>
      </c>
      <c r="C462" s="260">
        <v>473.0</v>
      </c>
      <c r="D462" s="260" t="str">
        <f>IFERROR(__xludf.DUMMYFUNCTION("if(B462&lt;=999,if(B462&lt;=99,IF(B462&lt;=9,join(,""000"",B462),join(,""00"",B462)),join(,""0"",B462)),B462)"),"0640")</f>
        <v>0640</v>
      </c>
      <c r="E462" s="263" t="str">
        <f>vlookup(B462,'Geotagging Master All-Training '!$A$2:$C$2474,2,false)</f>
        <v>#N/A</v>
      </c>
      <c r="F462" s="263" t="str">
        <f>vlookup(B462,'Geotagging Master All-Training '!$A$2:$C$2474,3,false)</f>
        <v>#N/A</v>
      </c>
      <c r="G462" s="265" t="s">
        <v>20</v>
      </c>
      <c r="H462" s="258"/>
    </row>
    <row r="463" hidden="1">
      <c r="A463" s="258">
        <v>1432.0</v>
      </c>
      <c r="B463" s="258">
        <v>1432.0</v>
      </c>
      <c r="C463" s="260">
        <v>474.0</v>
      </c>
      <c r="D463" s="260">
        <f>IFERROR(__xludf.DUMMYFUNCTION("if(B463&lt;=999,if(B463&lt;=99,IF(B463&lt;=9,join(,""000"",B463),join(,""00"",B463)),join(,""0"",B463)),B463)"),1432.0)</f>
        <v>1432</v>
      </c>
      <c r="E463" s="263" t="str">
        <f>vlookup(B463,'Geotagging Master All-Training '!$A$2:$C$2474,2,false)</f>
        <v>#N/A</v>
      </c>
      <c r="F463" s="263" t="str">
        <f>vlookup(B463,'Geotagging Master All-Training '!$A$2:$C$2474,3,false)</f>
        <v>#N/A</v>
      </c>
      <c r="G463" s="265" t="s">
        <v>20</v>
      </c>
      <c r="H463" s="258"/>
    </row>
    <row r="464" hidden="1">
      <c r="A464" s="258">
        <v>1101.0</v>
      </c>
      <c r="B464" s="258">
        <v>1101.0</v>
      </c>
      <c r="C464" s="260">
        <v>475.0</v>
      </c>
      <c r="D464" s="260">
        <f>IFERROR(__xludf.DUMMYFUNCTION("if(B464&lt;=999,if(B464&lt;=99,IF(B464&lt;=9,join(,""000"",B464),join(,""00"",B464)),join(,""0"",B464)),B464)"),1101.0)</f>
        <v>1101</v>
      </c>
      <c r="E464" s="263" t="str">
        <f>vlookup(B464,'Geotagging Master All-Training '!$A$2:$C$2474,2,false)</f>
        <v>#N/A</v>
      </c>
      <c r="F464" s="263" t="str">
        <f>vlookup(B464,'Geotagging Master All-Training '!$A$2:$C$2474,3,false)</f>
        <v>#N/A</v>
      </c>
      <c r="G464" s="265" t="s">
        <v>20</v>
      </c>
      <c r="H464" s="258"/>
    </row>
    <row r="465" hidden="1">
      <c r="A465" s="258">
        <v>1095.0</v>
      </c>
      <c r="B465" s="258">
        <v>1095.0</v>
      </c>
      <c r="C465" s="260">
        <v>476.0</v>
      </c>
      <c r="D465" s="260">
        <f>IFERROR(__xludf.DUMMYFUNCTION("if(B465&lt;=999,if(B465&lt;=99,IF(B465&lt;=9,join(,""000"",B465),join(,""00"",B465)),join(,""0"",B465)),B465)"),1095.0)</f>
        <v>1095</v>
      </c>
      <c r="E465" s="263" t="str">
        <f>vlookup(B465,'Geotagging Master All-Training '!$A$2:$C$2474,2,false)</f>
        <v>#N/A</v>
      </c>
      <c r="F465" s="263" t="str">
        <f>vlookup(B465,'Geotagging Master All-Training '!$A$2:$C$2474,3,false)</f>
        <v>#N/A</v>
      </c>
      <c r="G465" s="265" t="s">
        <v>20</v>
      </c>
      <c r="H465" s="258"/>
    </row>
    <row r="466" hidden="1">
      <c r="A466" s="258">
        <v>1295.0</v>
      </c>
      <c r="B466" s="259">
        <v>1295.0</v>
      </c>
      <c r="C466" s="260">
        <v>477.0</v>
      </c>
      <c r="D466" s="260">
        <f>IFERROR(__xludf.DUMMYFUNCTION("if(B466&lt;=999,if(B466&lt;=99,IF(B466&lt;=9,join(,""000"",B466),join(,""00"",B466)),join(,""0"",B466)),B466)"),1295.0)</f>
        <v>1295</v>
      </c>
      <c r="E466" s="263" t="str">
        <f>vlookup(B466,'Geotagging Master All-Training '!$A$2:$C$2474,2,false)</f>
        <v>#N/A</v>
      </c>
      <c r="F466" s="263" t="str">
        <f>vlookup(B466,'Geotagging Master All-Training '!$A$2:$C$2474,3,false)</f>
        <v>#N/A</v>
      </c>
      <c r="G466" s="265" t="s">
        <v>20</v>
      </c>
      <c r="H466" s="258"/>
    </row>
    <row r="467" hidden="1">
      <c r="A467" s="258">
        <v>671.0</v>
      </c>
      <c r="B467" s="258">
        <v>671.0</v>
      </c>
      <c r="C467" s="260">
        <v>478.0</v>
      </c>
      <c r="D467" s="260" t="str">
        <f>IFERROR(__xludf.DUMMYFUNCTION("if(B467&lt;=999,if(B467&lt;=99,IF(B467&lt;=9,join(,""000"",B467),join(,""00"",B467)),join(,""0"",B467)),B467)"),"0671")</f>
        <v>0671</v>
      </c>
      <c r="E467" s="263" t="str">
        <f>vlookup(B467,'Geotagging Master All-Training '!$A$2:$C$2474,2,false)</f>
        <v>#N/A</v>
      </c>
      <c r="F467" s="263" t="str">
        <f>vlookup(B467,'Geotagging Master All-Training '!$A$2:$C$2474,3,false)</f>
        <v>#N/A</v>
      </c>
      <c r="G467" s="265" t="s">
        <v>20</v>
      </c>
      <c r="H467" s="258"/>
    </row>
    <row r="468" hidden="1">
      <c r="A468" s="258">
        <v>944.0</v>
      </c>
      <c r="B468" s="258">
        <v>944.0</v>
      </c>
      <c r="C468" s="260">
        <v>479.0</v>
      </c>
      <c r="D468" s="260" t="str">
        <f>IFERROR(__xludf.DUMMYFUNCTION("if(B468&lt;=999,if(B468&lt;=99,IF(B468&lt;=9,join(,""000"",B468),join(,""00"",B468)),join(,""0"",B468)),B468)"),"0944")</f>
        <v>0944</v>
      </c>
      <c r="E468" s="263" t="str">
        <f>vlookup(B468,'Geotagging Master All-Training '!$A$2:$C$2474,2,false)</f>
        <v>#N/A</v>
      </c>
      <c r="F468" s="263" t="str">
        <f>vlookup(B468,'Geotagging Master All-Training '!$A$2:$C$2474,3,false)</f>
        <v>#N/A</v>
      </c>
      <c r="G468" s="265" t="s">
        <v>20</v>
      </c>
      <c r="H468" s="258"/>
    </row>
    <row r="469" hidden="1">
      <c r="A469" s="258">
        <v>1427.0</v>
      </c>
      <c r="B469" s="258">
        <v>1427.0</v>
      </c>
      <c r="C469" s="260">
        <v>480.0</v>
      </c>
      <c r="D469" s="260">
        <f>IFERROR(__xludf.DUMMYFUNCTION("if(B469&lt;=999,if(B469&lt;=99,IF(B469&lt;=9,join(,""000"",B469),join(,""00"",B469)),join(,""0"",B469)),B469)"),1427.0)</f>
        <v>1427</v>
      </c>
      <c r="E469" s="263" t="str">
        <f>vlookup(B469,'Geotagging Master All-Training '!$A$2:$C$2474,2,false)</f>
        <v>#N/A</v>
      </c>
      <c r="F469" s="263" t="str">
        <f>vlookup(B469,'Geotagging Master All-Training '!$A$2:$C$2474,3,false)</f>
        <v>#N/A</v>
      </c>
      <c r="G469" s="265" t="s">
        <v>20</v>
      </c>
      <c r="H469" s="258"/>
    </row>
    <row r="470" hidden="1">
      <c r="A470" s="258">
        <v>1230.0</v>
      </c>
      <c r="B470" s="258">
        <v>1230.0</v>
      </c>
      <c r="C470" s="260">
        <v>481.0</v>
      </c>
      <c r="D470" s="260">
        <f>IFERROR(__xludf.DUMMYFUNCTION("if(B470&lt;=999,if(B470&lt;=99,IF(B470&lt;=9,join(,""000"",B470),join(,""00"",B470)),join(,""0"",B470)),B470)"),1230.0)</f>
        <v>1230</v>
      </c>
      <c r="E470" s="263" t="str">
        <f>vlookup(B470,'Geotagging Master All-Training '!$A$2:$C$2474,2,false)</f>
        <v>#N/A</v>
      </c>
      <c r="F470" s="263" t="str">
        <f>vlookup(B470,'Geotagging Master All-Training '!$A$2:$C$2474,3,false)</f>
        <v>#N/A</v>
      </c>
      <c r="G470" s="265" t="s">
        <v>20</v>
      </c>
      <c r="H470" s="258"/>
    </row>
    <row r="471" hidden="1">
      <c r="A471" s="258">
        <v>238.0</v>
      </c>
      <c r="B471" s="258">
        <v>238.0</v>
      </c>
      <c r="C471" s="260">
        <v>482.0</v>
      </c>
      <c r="D471" s="260" t="str">
        <f>IFERROR(__xludf.DUMMYFUNCTION("if(B471&lt;=999,if(B471&lt;=99,IF(B471&lt;=9,join(,""000"",B471),join(,""00"",B471)),join(,""0"",B471)),B471)"),"0238")</f>
        <v>0238</v>
      </c>
      <c r="E471" s="263" t="str">
        <f>vlookup(B471,'Geotagging Master All-Training '!$A$2:$C$2474,2,false)</f>
        <v>#N/A</v>
      </c>
      <c r="F471" s="263" t="str">
        <f>vlookup(B471,'Geotagging Master All-Training '!$A$2:$C$2474,3,false)</f>
        <v>#N/A</v>
      </c>
      <c r="G471" s="265" t="s">
        <v>20</v>
      </c>
      <c r="H471" s="258"/>
    </row>
    <row r="472" hidden="1">
      <c r="A472" s="258">
        <v>1133.0</v>
      </c>
      <c r="B472" s="258">
        <v>1133.0</v>
      </c>
      <c r="C472" s="260">
        <v>483.0</v>
      </c>
      <c r="D472" s="260">
        <f>IFERROR(__xludf.DUMMYFUNCTION("if(B472&lt;=999,if(B472&lt;=99,IF(B472&lt;=9,join(,""000"",B472),join(,""00"",B472)),join(,""0"",B472)),B472)"),1133.0)</f>
        <v>1133</v>
      </c>
      <c r="E472" s="263" t="str">
        <f>vlookup(B472,'Geotagging Master All-Training '!$A$2:$C$2474,2,false)</f>
        <v>#N/A</v>
      </c>
      <c r="F472" s="263" t="str">
        <f>vlookup(B472,'Geotagging Master All-Training '!$A$2:$C$2474,3,false)</f>
        <v>#N/A</v>
      </c>
      <c r="G472" s="265" t="s">
        <v>20</v>
      </c>
      <c r="H472" s="258"/>
    </row>
    <row r="473" hidden="1">
      <c r="A473" s="272">
        <v>228.0</v>
      </c>
      <c r="B473" s="272">
        <v>228.0</v>
      </c>
      <c r="C473" s="260">
        <v>484.0</v>
      </c>
      <c r="D473" s="273" t="str">
        <f>IFERROR(__xludf.DUMMYFUNCTION("if(B473&lt;=999,if(B473&lt;=99,IF(B473&lt;=9,join(,""000"",B473),join(,""00"",B473)),join(,""0"",B473)),B473)"),"0228")</f>
        <v>0228</v>
      </c>
      <c r="E473" s="263" t="str">
        <f>vlookup(B473,'Geotagging Master All-Training '!$A$2:$C$2474,2,false)</f>
        <v>#N/A</v>
      </c>
      <c r="F473" s="263" t="str">
        <f>vlookup(B473,'Geotagging Master All-Training '!$A$2:$C$2474,3,false)</f>
        <v>#N/A</v>
      </c>
      <c r="G473" s="276" t="s">
        <v>20</v>
      </c>
      <c r="H473" s="272"/>
    </row>
    <row r="474" hidden="1">
      <c r="A474" s="258">
        <v>682.0</v>
      </c>
      <c r="B474" s="258">
        <v>682.0</v>
      </c>
      <c r="C474" s="260">
        <v>485.0</v>
      </c>
      <c r="D474" s="260" t="str">
        <f>IFERROR(__xludf.DUMMYFUNCTION("if(B474&lt;=999,if(B474&lt;=99,IF(B474&lt;=9,join(,""000"",B474),join(,""00"",B474)),join(,""0"",B474)),B474)"),"0682")</f>
        <v>0682</v>
      </c>
      <c r="E474" s="263" t="str">
        <f>vlookup(B474,'Geotagging Master All-Training '!$A$2:$C$2474,2,false)</f>
        <v>#N/A</v>
      </c>
      <c r="F474" s="263" t="str">
        <f>vlookup(B474,'Geotagging Master All-Training '!$A$2:$C$2474,3,false)</f>
        <v>#N/A</v>
      </c>
      <c r="G474" s="265" t="s">
        <v>20</v>
      </c>
      <c r="H474" s="258"/>
    </row>
    <row r="475" hidden="1">
      <c r="A475" s="272">
        <v>216.0</v>
      </c>
      <c r="B475" s="272">
        <v>216.0</v>
      </c>
      <c r="C475" s="260">
        <v>486.0</v>
      </c>
      <c r="D475" s="273" t="str">
        <f>IFERROR(__xludf.DUMMYFUNCTION("if(B475&lt;=999,if(B475&lt;=99,IF(B475&lt;=9,join(,""000"",B475),join(,""00"",B475)),join(,""0"",B475)),B475)"),"0216")</f>
        <v>0216</v>
      </c>
      <c r="E475" s="263" t="str">
        <f>vlookup(B475,'Geotagging Master All-Training '!$A$2:$C$2474,2,false)</f>
        <v>#N/A</v>
      </c>
      <c r="F475" s="263" t="str">
        <f>vlookup(B475,'Geotagging Master All-Training '!$A$2:$C$2474,3,false)</f>
        <v>#N/A</v>
      </c>
      <c r="G475" s="276" t="s">
        <v>20</v>
      </c>
      <c r="H475" s="272"/>
    </row>
    <row r="476" hidden="1">
      <c r="A476" s="258">
        <v>1058.0</v>
      </c>
      <c r="B476" s="259">
        <v>1058.0</v>
      </c>
      <c r="C476" s="260">
        <v>487.0</v>
      </c>
      <c r="D476" s="260">
        <f>IFERROR(__xludf.DUMMYFUNCTION("if(B476&lt;=999,if(B476&lt;=99,IF(B476&lt;=9,join(,""000"",B476),join(,""00"",B476)),join(,""0"",B476)),B476)"),1058.0)</f>
        <v>1058</v>
      </c>
      <c r="E476" s="263" t="str">
        <f>vlookup(B476,'Geotagging Master All-Training '!$A$2:$C$2474,2,false)</f>
        <v>#N/A</v>
      </c>
      <c r="F476" s="263" t="str">
        <f>vlookup(B476,'Geotagging Master All-Training '!$A$2:$C$2474,3,false)</f>
        <v>#N/A</v>
      </c>
      <c r="G476" s="265" t="s">
        <v>20</v>
      </c>
      <c r="H476" s="258"/>
    </row>
    <row r="477" hidden="1">
      <c r="A477" s="258">
        <v>805.0</v>
      </c>
      <c r="B477" s="258">
        <v>805.0</v>
      </c>
      <c r="C477" s="260">
        <v>488.0</v>
      </c>
      <c r="D477" s="260" t="str">
        <f>IFERROR(__xludf.DUMMYFUNCTION("if(B477&lt;=999,if(B477&lt;=99,IF(B477&lt;=9,join(,""000"",B477),join(,""00"",B477)),join(,""0"",B477)),B477)"),"0805")</f>
        <v>0805</v>
      </c>
      <c r="E477" s="263" t="str">
        <f>vlookup(B477,'Geotagging Master All-Training '!$A$2:$C$2474,2,false)</f>
        <v>#N/A</v>
      </c>
      <c r="F477" s="263" t="str">
        <f>vlookup(B477,'Geotagging Master All-Training '!$A$2:$C$2474,3,false)</f>
        <v>#N/A</v>
      </c>
      <c r="G477" s="265" t="s">
        <v>20</v>
      </c>
      <c r="H477" s="258"/>
    </row>
    <row r="478" hidden="1">
      <c r="A478" s="258">
        <v>1033.0</v>
      </c>
      <c r="B478" s="259">
        <v>1033.0</v>
      </c>
      <c r="C478" s="260">
        <v>489.0</v>
      </c>
      <c r="D478" s="260">
        <f>IFERROR(__xludf.DUMMYFUNCTION("if(B478&lt;=999,if(B478&lt;=99,IF(B478&lt;=9,join(,""000"",B478),join(,""00"",B478)),join(,""0"",B478)),B478)"),1033.0)</f>
        <v>1033</v>
      </c>
      <c r="E478" s="263" t="str">
        <f>vlookup(B478,'Geotagging Master All-Training '!$A$2:$C$2474,2,false)</f>
        <v>#N/A</v>
      </c>
      <c r="F478" s="263" t="str">
        <f>vlookup(B478,'Geotagging Master All-Training '!$A$2:$C$2474,3,false)</f>
        <v>#N/A</v>
      </c>
      <c r="G478" s="265" t="s">
        <v>20</v>
      </c>
      <c r="H478" s="258"/>
    </row>
    <row r="479" hidden="1">
      <c r="A479" s="258">
        <v>949.0</v>
      </c>
      <c r="B479" s="258">
        <v>949.0</v>
      </c>
      <c r="C479" s="260">
        <v>490.0</v>
      </c>
      <c r="D479" s="260" t="str">
        <f>IFERROR(__xludf.DUMMYFUNCTION("if(B479&lt;=999,if(B479&lt;=99,IF(B479&lt;=9,join(,""000"",B479),join(,""00"",B479)),join(,""0"",B479)),B479)"),"0949")</f>
        <v>0949</v>
      </c>
      <c r="E479" s="263" t="str">
        <f>vlookup(B479,'Geotagging Master All-Training '!$A$2:$C$2474,2,false)</f>
        <v>#N/A</v>
      </c>
      <c r="F479" s="263" t="str">
        <f>vlookup(B479,'Geotagging Master All-Training '!$A$2:$C$2474,3,false)</f>
        <v>#N/A</v>
      </c>
      <c r="G479" s="265" t="s">
        <v>20</v>
      </c>
      <c r="H479" s="258"/>
    </row>
    <row r="480" hidden="1">
      <c r="A480" s="258">
        <v>253.0</v>
      </c>
      <c r="B480" s="258">
        <v>253.0</v>
      </c>
      <c r="C480" s="260">
        <v>491.0</v>
      </c>
      <c r="D480" s="260" t="str">
        <f>IFERROR(__xludf.DUMMYFUNCTION("if(B480&lt;=999,if(B480&lt;=99,IF(B480&lt;=9,join(,""000"",B480),join(,""00"",B480)),join(,""0"",B480)),B480)"),"0253")</f>
        <v>0253</v>
      </c>
      <c r="E480" s="263" t="str">
        <f>vlookup(B480,'Geotagging Master All-Training '!$A$2:$C$2474,2,false)</f>
        <v>#N/A</v>
      </c>
      <c r="F480" s="263" t="str">
        <f>vlookup(B480,'Geotagging Master All-Training '!$A$2:$C$2474,3,false)</f>
        <v>#N/A</v>
      </c>
      <c r="G480" s="265" t="s">
        <v>20</v>
      </c>
      <c r="H480" s="258"/>
    </row>
    <row r="481" hidden="1">
      <c r="A481" s="272">
        <v>1079.0</v>
      </c>
      <c r="B481" s="272">
        <v>1079.0</v>
      </c>
      <c r="C481" s="260">
        <v>492.0</v>
      </c>
      <c r="D481" s="273">
        <f>IFERROR(__xludf.DUMMYFUNCTION("if(B481&lt;=999,if(B481&lt;=99,IF(B481&lt;=9,join(,""000"",B481),join(,""00"",B481)),join(,""0"",B481)),B481)"),1079.0)</f>
        <v>1079</v>
      </c>
      <c r="E481" s="263" t="str">
        <f>vlookup(B481,'Geotagging Master All-Training '!$A$2:$C$2474,2,false)</f>
        <v>#N/A</v>
      </c>
      <c r="F481" s="263" t="str">
        <f>vlookup(B481,'Geotagging Master All-Training '!$A$2:$C$2474,3,false)</f>
        <v>#N/A</v>
      </c>
      <c r="G481" s="276" t="s">
        <v>20</v>
      </c>
      <c r="H481" s="272"/>
    </row>
    <row r="482" hidden="1">
      <c r="A482" s="272">
        <v>1126.0</v>
      </c>
      <c r="B482" s="272">
        <v>1126.0</v>
      </c>
      <c r="C482" s="260">
        <v>493.0</v>
      </c>
      <c r="D482" s="273">
        <f>IFERROR(__xludf.DUMMYFUNCTION("if(B482&lt;=999,if(B482&lt;=99,IF(B482&lt;=9,join(,""000"",B482),join(,""00"",B482)),join(,""0"",B482)),B482)"),1126.0)</f>
        <v>1126</v>
      </c>
      <c r="E482" s="263" t="str">
        <f>vlookup(B482,'Geotagging Master All-Training '!$A$2:$C$2474,2,false)</f>
        <v>#N/A</v>
      </c>
      <c r="F482" s="263" t="str">
        <f>vlookup(B482,'Geotagging Master All-Training '!$A$2:$C$2474,3,false)</f>
        <v>#N/A</v>
      </c>
      <c r="G482" s="276" t="s">
        <v>20</v>
      </c>
      <c r="H482" s="272"/>
    </row>
    <row r="483" hidden="1">
      <c r="A483" s="258">
        <v>23.0</v>
      </c>
      <c r="B483" s="258">
        <v>23.0</v>
      </c>
      <c r="C483" s="260">
        <v>494.0</v>
      </c>
      <c r="D483" s="260" t="str">
        <f>IFERROR(__xludf.DUMMYFUNCTION("if(B483&lt;=999,if(B483&lt;=99,IF(B483&lt;=9,join(,""000"",B483),join(,""00"",B483)),join(,""0"",B483)),B483)"),"0023")</f>
        <v>0023</v>
      </c>
      <c r="E483" s="263" t="str">
        <f>vlookup(B483,'Geotagging Master All-Training '!$A$2:$C$2474,2,false)</f>
        <v>#N/A</v>
      </c>
      <c r="F483" s="263" t="str">
        <f>vlookup(B483,'Geotagging Master All-Training '!$A$2:$C$2474,3,false)</f>
        <v>#N/A</v>
      </c>
      <c r="G483" s="265" t="s">
        <v>20</v>
      </c>
      <c r="H483" s="258"/>
    </row>
    <row r="484" hidden="1">
      <c r="A484" s="272">
        <v>1028.0</v>
      </c>
      <c r="B484" s="272">
        <v>1028.0</v>
      </c>
      <c r="C484" s="273">
        <v>520.0</v>
      </c>
      <c r="D484" s="273">
        <f>IFERROR(__xludf.DUMMYFUNCTION("if(B484&lt;=999,if(B484&lt;=99,IF(B484&lt;=9,join(,""000"",B484),join(,""00"",B484)),join(,""0"",B484)),B484)"),1028.0)</f>
        <v>1028</v>
      </c>
      <c r="E484" s="303" t="str">
        <f>vlookup(B484,'Geotagging Master All-Training '!$A$2:$C$2474,2,false)</f>
        <v>#N/A</v>
      </c>
      <c r="F484" s="303" t="str">
        <f>vlookup(B484,'Geotagging Master All-Training '!$A$2:$C$2474,3,false)</f>
        <v>#N/A</v>
      </c>
      <c r="G484" s="276" t="s">
        <v>20</v>
      </c>
      <c r="H484" s="272"/>
    </row>
    <row r="485" hidden="1">
      <c r="A485" s="258">
        <v>359.0</v>
      </c>
      <c r="B485" s="258">
        <v>359.0</v>
      </c>
      <c r="C485" s="260">
        <v>496.0</v>
      </c>
      <c r="D485" s="260" t="str">
        <f>IFERROR(__xludf.DUMMYFUNCTION("if(B485&lt;=999,if(B485&lt;=99,IF(B485&lt;=9,join(,""000"",B485),join(,""00"",B485)),join(,""0"",B485)),B485)"),"0359")</f>
        <v>0359</v>
      </c>
      <c r="E485" s="263" t="str">
        <f>vlookup(B485,'Geotagging Master All-Training '!$A$2:$C$2474,2,false)</f>
        <v>#N/A</v>
      </c>
      <c r="F485" s="263" t="str">
        <f>vlookup(B485,'Geotagging Master All-Training '!$A$2:$C$2474,3,false)</f>
        <v>#N/A</v>
      </c>
      <c r="G485" s="265" t="s">
        <v>20</v>
      </c>
      <c r="H485" s="258"/>
    </row>
    <row r="486" hidden="1">
      <c r="A486" s="258">
        <v>1083.0</v>
      </c>
      <c r="B486" s="259">
        <v>1083.0</v>
      </c>
      <c r="C486" s="260">
        <v>497.0</v>
      </c>
      <c r="D486" s="260">
        <f>IFERROR(__xludf.DUMMYFUNCTION("if(B486&lt;=999,if(B486&lt;=99,IF(B486&lt;=9,join(,""000"",B486),join(,""00"",B486)),join(,""0"",B486)),B486)"),1083.0)</f>
        <v>1083</v>
      </c>
      <c r="E486" s="263" t="str">
        <f>vlookup(B486,'Geotagging Master All-Training '!$A$2:$C$2474,2,false)</f>
        <v>#N/A</v>
      </c>
      <c r="F486" s="263" t="str">
        <f>vlookup(B486,'Geotagging Master All-Training '!$A$2:$C$2474,3,false)</f>
        <v>#N/A</v>
      </c>
      <c r="G486" s="265" t="s">
        <v>20</v>
      </c>
      <c r="H486" s="258"/>
    </row>
    <row r="487" hidden="1">
      <c r="A487" s="258">
        <v>520.0</v>
      </c>
      <c r="B487" s="258">
        <v>520.0</v>
      </c>
      <c r="C487" s="260">
        <v>498.0</v>
      </c>
      <c r="D487" s="260" t="str">
        <f>IFERROR(__xludf.DUMMYFUNCTION("if(B487&lt;=999,if(B487&lt;=99,IF(B487&lt;=9,join(,""000"",B487),join(,""00"",B487)),join(,""0"",B487)),B487)"),"0520")</f>
        <v>0520</v>
      </c>
      <c r="E487" s="263" t="str">
        <f>vlookup(B487,'Geotagging Master All-Training '!$A$2:$C$2474,2,false)</f>
        <v>#N/A</v>
      </c>
      <c r="F487" s="263" t="str">
        <f>vlookup(B487,'Geotagging Master All-Training '!$A$2:$C$2474,3,false)</f>
        <v>#N/A</v>
      </c>
      <c r="G487" s="265" t="s">
        <v>20</v>
      </c>
      <c r="H487" s="258"/>
    </row>
    <row r="488" hidden="1">
      <c r="A488" s="258">
        <v>4.0</v>
      </c>
      <c r="B488" s="258">
        <v>4.0</v>
      </c>
      <c r="C488" s="273">
        <v>36.0</v>
      </c>
      <c r="D488" s="260" t="str">
        <f>IFERROR(__xludf.DUMMYFUNCTION("if(B488&lt;=999,if(B488&lt;=99,IF(B488&lt;=9,join(,""000"",B488),join(,""00"",B488)),join(,""0"",B488)),B488)"),"0004")</f>
        <v>0004</v>
      </c>
      <c r="E488" s="263" t="str">
        <f>vlookup(B488,'Geotagging Master All-Training '!$A$2:$C$2474,2,false)</f>
        <v>#N/A</v>
      </c>
      <c r="F488" s="263" t="str">
        <f>vlookup(B488,'Geotagging Master All-Training '!$A$2:$C$2474,3,false)</f>
        <v>#N/A</v>
      </c>
      <c r="G488" s="265" t="s">
        <v>35</v>
      </c>
      <c r="H488" s="258"/>
    </row>
    <row r="489" hidden="1">
      <c r="A489" s="258">
        <v>684.0</v>
      </c>
      <c r="B489" s="258">
        <v>684.0</v>
      </c>
      <c r="C489" s="260">
        <v>500.0</v>
      </c>
      <c r="D489" s="260" t="str">
        <f>IFERROR(__xludf.DUMMYFUNCTION("if(B489&lt;=999,if(B489&lt;=99,IF(B489&lt;=9,join(,""000"",B489),join(,""00"",B489)),join(,""0"",B489)),B489)"),"0684")</f>
        <v>0684</v>
      </c>
      <c r="E489" s="263" t="str">
        <f>vlookup(B489,'Geotagging Master All-Training '!$A$2:$C$2474,2,false)</f>
        <v>#N/A</v>
      </c>
      <c r="F489" s="263" t="str">
        <f>vlookup(B489,'Geotagging Master All-Training '!$A$2:$C$2474,3,false)</f>
        <v>#N/A</v>
      </c>
      <c r="G489" s="265" t="s">
        <v>20</v>
      </c>
      <c r="H489" s="258"/>
    </row>
    <row r="490" hidden="1">
      <c r="A490" s="258">
        <v>1415.0</v>
      </c>
      <c r="B490" s="258">
        <v>1415.0</v>
      </c>
      <c r="C490" s="260">
        <v>501.0</v>
      </c>
      <c r="D490" s="260">
        <f>IFERROR(__xludf.DUMMYFUNCTION("if(B490&lt;=999,if(B490&lt;=99,IF(B490&lt;=9,join(,""000"",B490),join(,""00"",B490)),join(,""0"",B490)),B490)"),1415.0)</f>
        <v>1415</v>
      </c>
      <c r="E490" s="263" t="str">
        <f>vlookup(B490,'Geotagging Master All-Training '!$A$2:$C$2474,2,false)</f>
        <v>#N/A</v>
      </c>
      <c r="F490" s="263" t="str">
        <f>vlookup(B490,'Geotagging Master All-Training '!$A$2:$C$2474,3,false)</f>
        <v>#N/A</v>
      </c>
      <c r="G490" s="265" t="s">
        <v>20</v>
      </c>
      <c r="H490" s="258"/>
    </row>
    <row r="491" hidden="1">
      <c r="A491" s="258">
        <v>1390.0</v>
      </c>
      <c r="B491" s="258">
        <v>1390.0</v>
      </c>
      <c r="C491" s="260">
        <v>502.0</v>
      </c>
      <c r="D491" s="260">
        <f>IFERROR(__xludf.DUMMYFUNCTION("if(B491&lt;=999,if(B491&lt;=99,IF(B491&lt;=9,join(,""000"",B491),join(,""00"",B491)),join(,""0"",B491)),B491)"),1390.0)</f>
        <v>1390</v>
      </c>
      <c r="E491" s="263" t="str">
        <f>vlookup(B491,'Geotagging Master All-Training '!$A$2:$C$2474,2,false)</f>
        <v>#N/A</v>
      </c>
      <c r="F491" s="263" t="str">
        <f>vlookup(B491,'Geotagging Master All-Training '!$A$2:$C$2474,3,false)</f>
        <v>#N/A</v>
      </c>
      <c r="G491" s="265" t="s">
        <v>20</v>
      </c>
      <c r="H491" s="258"/>
    </row>
    <row r="492" hidden="1">
      <c r="A492" s="258">
        <v>489.0</v>
      </c>
      <c r="B492" s="259">
        <v>489.0</v>
      </c>
      <c r="C492" s="260">
        <v>503.0</v>
      </c>
      <c r="D492" s="260" t="str">
        <f>IFERROR(__xludf.DUMMYFUNCTION("if(B492&lt;=999,if(B492&lt;=99,IF(B492&lt;=9,join(,""000"",B492),join(,""00"",B492)),join(,""0"",B492)),B492)"),"0489")</f>
        <v>0489</v>
      </c>
      <c r="E492" s="263" t="str">
        <f>vlookup(B492,'Geotagging Master All-Training '!$A$2:$C$2474,2,false)</f>
        <v>#N/A</v>
      </c>
      <c r="F492" s="263" t="str">
        <f>vlookup(B492,'Geotagging Master All-Training '!$A$2:$C$2474,3,false)</f>
        <v>#N/A</v>
      </c>
      <c r="G492" s="265" t="s">
        <v>20</v>
      </c>
      <c r="H492" s="258"/>
    </row>
    <row r="493" hidden="1">
      <c r="A493" s="258">
        <v>68.0</v>
      </c>
      <c r="B493" s="258">
        <v>68.0</v>
      </c>
      <c r="C493" s="260">
        <v>504.0</v>
      </c>
      <c r="D493" s="260" t="str">
        <f>IFERROR(__xludf.DUMMYFUNCTION("if(B493&lt;=999,if(B493&lt;=99,IF(B493&lt;=9,join(,""000"",B493),join(,""00"",B493)),join(,""0"",B493)),B493)"),"0068")</f>
        <v>0068</v>
      </c>
      <c r="E493" s="263" t="str">
        <f>vlookup(B493,'Geotagging Master All-Training '!$A$2:$C$2474,2,false)</f>
        <v>#N/A</v>
      </c>
      <c r="F493" s="263" t="str">
        <f>vlookup(B493,'Geotagging Master All-Training '!$A$2:$C$2474,3,false)</f>
        <v>#N/A</v>
      </c>
      <c r="G493" s="265" t="s">
        <v>20</v>
      </c>
      <c r="H493" s="258"/>
    </row>
    <row r="494" hidden="1">
      <c r="A494" s="258">
        <v>804.0</v>
      </c>
      <c r="B494" s="259">
        <v>804.0</v>
      </c>
      <c r="C494" s="260">
        <v>505.0</v>
      </c>
      <c r="D494" s="260" t="str">
        <f>IFERROR(__xludf.DUMMYFUNCTION("if(B494&lt;=999,if(B494&lt;=99,IF(B494&lt;=9,join(,""000"",B494),join(,""00"",B494)),join(,""0"",B494)),B494)"),"0804")</f>
        <v>0804</v>
      </c>
      <c r="E494" s="263" t="str">
        <f>vlookup(B494,'Geotagging Master All-Training '!$A$2:$C$2474,2,false)</f>
        <v>#N/A</v>
      </c>
      <c r="F494" s="263" t="str">
        <f>vlookup(B494,'Geotagging Master All-Training '!$A$2:$C$2474,3,false)</f>
        <v>#N/A</v>
      </c>
      <c r="G494" s="265" t="s">
        <v>20</v>
      </c>
      <c r="H494" s="258"/>
    </row>
    <row r="495" hidden="1">
      <c r="A495" s="258">
        <v>679.0</v>
      </c>
      <c r="B495" s="258">
        <v>679.0</v>
      </c>
      <c r="C495" s="260">
        <v>506.0</v>
      </c>
      <c r="D495" s="260" t="str">
        <f>IFERROR(__xludf.DUMMYFUNCTION("if(B495&lt;=999,if(B495&lt;=99,IF(B495&lt;=9,join(,""000"",B495),join(,""00"",B495)),join(,""0"",B495)),B495)"),"0679")</f>
        <v>0679</v>
      </c>
      <c r="E495" s="263" t="str">
        <f>vlookup(B495,'Geotagging Master All-Training '!$A$2:$C$2474,2,false)</f>
        <v>#N/A</v>
      </c>
      <c r="F495" s="263" t="str">
        <f>vlookup(B495,'Geotagging Master All-Training '!$A$2:$C$2474,3,false)</f>
        <v>#N/A</v>
      </c>
      <c r="G495" s="265" t="s">
        <v>20</v>
      </c>
      <c r="H495" s="258"/>
    </row>
    <row r="496" hidden="1">
      <c r="A496" s="258">
        <v>621.0</v>
      </c>
      <c r="B496" s="258">
        <v>621.0</v>
      </c>
      <c r="C496" s="260">
        <v>507.0</v>
      </c>
      <c r="D496" s="260" t="str">
        <f>IFERROR(__xludf.DUMMYFUNCTION("if(B496&lt;=999,if(B496&lt;=99,IF(B496&lt;=9,join(,""000"",B496),join(,""00"",B496)),join(,""0"",B496)),B496)"),"0621")</f>
        <v>0621</v>
      </c>
      <c r="E496" s="263" t="str">
        <f>vlookup(B496,'Geotagging Master All-Training '!$A$2:$C$2474,2,false)</f>
        <v>#N/A</v>
      </c>
      <c r="F496" s="263" t="str">
        <f>vlookup(B496,'Geotagging Master All-Training '!$A$2:$C$2474,3,false)</f>
        <v>#N/A</v>
      </c>
      <c r="G496" s="265" t="s">
        <v>20</v>
      </c>
      <c r="H496" s="258"/>
    </row>
    <row r="497" hidden="1">
      <c r="A497" s="272">
        <v>947.0</v>
      </c>
      <c r="B497" s="272">
        <v>947.0</v>
      </c>
      <c r="C497" s="260">
        <v>508.0</v>
      </c>
      <c r="D497" s="273" t="str">
        <f>IFERROR(__xludf.DUMMYFUNCTION("if(B497&lt;=999,if(B497&lt;=99,IF(B497&lt;=9,join(,""000"",B497),join(,""00"",B497)),join(,""0"",B497)),B497)"),"0947")</f>
        <v>0947</v>
      </c>
      <c r="E497" s="263" t="str">
        <f>vlookup(B497,'Geotagging Master All-Training '!$A$2:$C$2474,2,false)</f>
        <v>#N/A</v>
      </c>
      <c r="F497" s="263" t="str">
        <f>vlookup(B497,'Geotagging Master All-Training '!$A$2:$C$2474,3,false)</f>
        <v>#N/A</v>
      </c>
      <c r="G497" s="276" t="s">
        <v>20</v>
      </c>
      <c r="H497" s="272"/>
    </row>
    <row r="498" hidden="1">
      <c r="A498" s="258">
        <v>1132.0</v>
      </c>
      <c r="B498" s="258">
        <v>1132.0</v>
      </c>
      <c r="C498" s="260">
        <v>509.0</v>
      </c>
      <c r="D498" s="260">
        <f>IFERROR(__xludf.DUMMYFUNCTION("if(B498&lt;=999,if(B498&lt;=99,IF(B498&lt;=9,join(,""000"",B498),join(,""00"",B498)),join(,""0"",B498)),B498)"),1132.0)</f>
        <v>1132</v>
      </c>
      <c r="E498" s="263" t="str">
        <f>vlookup(B498,'Geotagging Master All-Training '!$A$2:$C$2474,2,false)</f>
        <v>#N/A</v>
      </c>
      <c r="F498" s="263" t="str">
        <f>vlookup(B498,'Geotagging Master All-Training '!$A$2:$C$2474,3,false)</f>
        <v>#N/A</v>
      </c>
      <c r="G498" s="265" t="s">
        <v>20</v>
      </c>
      <c r="H498" s="258"/>
    </row>
    <row r="499" hidden="1">
      <c r="A499" s="258">
        <v>948.0</v>
      </c>
      <c r="B499" s="258">
        <v>948.0</v>
      </c>
      <c r="C499" s="260">
        <v>510.0</v>
      </c>
      <c r="D499" s="260" t="str">
        <f>IFERROR(__xludf.DUMMYFUNCTION("if(B499&lt;=999,if(B499&lt;=99,IF(B499&lt;=9,join(,""000"",B499),join(,""00"",B499)),join(,""0"",B499)),B499)"),"0948")</f>
        <v>0948</v>
      </c>
      <c r="E499" s="263" t="str">
        <f>vlookup(B499,'Geotagging Master All-Training '!$A$2:$C$2474,2,false)</f>
        <v>#N/A</v>
      </c>
      <c r="F499" s="263" t="str">
        <f>vlookup(B499,'Geotagging Master All-Training '!$A$2:$C$2474,3,false)</f>
        <v>#N/A</v>
      </c>
      <c r="G499" s="265" t="s">
        <v>20</v>
      </c>
      <c r="H499" s="258"/>
    </row>
    <row r="500" hidden="1">
      <c r="A500" s="258">
        <v>977.0</v>
      </c>
      <c r="B500" s="258">
        <v>977.0</v>
      </c>
      <c r="C500" s="260">
        <v>511.0</v>
      </c>
      <c r="D500" s="260" t="str">
        <f>IFERROR(__xludf.DUMMYFUNCTION("if(B500&lt;=999,if(B500&lt;=99,IF(B500&lt;=9,join(,""000"",B500),join(,""00"",B500)),join(,""0"",B500)),B500)"),"0977")</f>
        <v>0977</v>
      </c>
      <c r="E500" s="263" t="str">
        <f>vlookup(B500,'Geotagging Master All-Training '!$A$2:$C$2474,2,false)</f>
        <v>#N/A</v>
      </c>
      <c r="F500" s="263" t="str">
        <f>vlookup(B500,'Geotagging Master All-Training '!$A$2:$C$2474,3,false)</f>
        <v>#N/A</v>
      </c>
      <c r="G500" s="265" t="s">
        <v>20</v>
      </c>
      <c r="H500" s="258"/>
    </row>
    <row r="501" hidden="1">
      <c r="A501" s="258">
        <v>1464.0</v>
      </c>
      <c r="B501" s="258">
        <v>1464.0</v>
      </c>
      <c r="C501" s="260">
        <v>512.0</v>
      </c>
      <c r="D501" s="260">
        <f>IFERROR(__xludf.DUMMYFUNCTION("if(B501&lt;=999,if(B501&lt;=99,IF(B501&lt;=9,join(,""000"",B501),join(,""00"",B501)),join(,""0"",B501)),B501)"),1464.0)</f>
        <v>1464</v>
      </c>
      <c r="E501" s="263" t="str">
        <f>vlookup(B501,'Geotagging Master All-Training '!$A$2:$C$2474,2,false)</f>
        <v>#N/A</v>
      </c>
      <c r="F501" s="263" t="str">
        <f>vlookup(B501,'Geotagging Master All-Training '!$A$2:$C$2474,3,false)</f>
        <v>#N/A</v>
      </c>
      <c r="G501" s="265" t="s">
        <v>20</v>
      </c>
      <c r="H501" s="258"/>
    </row>
    <row r="502" hidden="1">
      <c r="A502" s="258">
        <v>641.0</v>
      </c>
      <c r="B502" s="258">
        <v>641.0</v>
      </c>
      <c r="C502" s="260">
        <v>513.0</v>
      </c>
      <c r="D502" s="260" t="str">
        <f>IFERROR(__xludf.DUMMYFUNCTION("if(B502&lt;=999,if(B502&lt;=99,IF(B502&lt;=9,join(,""000"",B502),join(,""00"",B502)),join(,""0"",B502)),B502)"),"0641")</f>
        <v>0641</v>
      </c>
      <c r="E502" s="263" t="str">
        <f>vlookup(B502,'Geotagging Master All-Training '!$A$2:$C$2474,2,false)</f>
        <v>#N/A</v>
      </c>
      <c r="F502" s="263" t="str">
        <f>vlookup(B502,'Geotagging Master All-Training '!$A$2:$C$2474,3,false)</f>
        <v>#N/A</v>
      </c>
      <c r="G502" s="265" t="s">
        <v>20</v>
      </c>
      <c r="H502" s="258"/>
    </row>
    <row r="503" hidden="1">
      <c r="A503" s="258">
        <v>1077.0</v>
      </c>
      <c r="B503" s="258">
        <v>1077.0</v>
      </c>
      <c r="C503" s="260">
        <v>514.0</v>
      </c>
      <c r="D503" s="260">
        <f>IFERROR(__xludf.DUMMYFUNCTION("if(B503&lt;=999,if(B503&lt;=99,IF(B503&lt;=9,join(,""000"",B503),join(,""00"",B503)),join(,""0"",B503)),B503)"),1077.0)</f>
        <v>1077</v>
      </c>
      <c r="E503" s="263" t="str">
        <f>vlookup(B503,'Geotagging Master All-Training '!$A$2:$C$2474,2,false)</f>
        <v>#N/A</v>
      </c>
      <c r="F503" s="263" t="str">
        <f>vlookup(B503,'Geotagging Master All-Training '!$A$2:$C$2474,3,false)</f>
        <v>#N/A</v>
      </c>
      <c r="G503" s="322" t="s">
        <v>20</v>
      </c>
      <c r="H503" s="533"/>
    </row>
    <row r="504" hidden="1">
      <c r="A504" s="258">
        <v>638.0</v>
      </c>
      <c r="B504" s="258">
        <v>638.0</v>
      </c>
      <c r="C504" s="260">
        <v>515.0</v>
      </c>
      <c r="D504" s="260" t="str">
        <f>IFERROR(__xludf.DUMMYFUNCTION("if(B504&lt;=999,if(B504&lt;=99,IF(B504&lt;=9,join(,""000"",B504),join(,""00"",B504)),join(,""0"",B504)),B504)"),"0638")</f>
        <v>0638</v>
      </c>
      <c r="E504" s="263" t="str">
        <f>vlookup(B504,'Geotagging Master All-Training '!$A$2:$C$2474,2,false)</f>
        <v>#N/A</v>
      </c>
      <c r="F504" s="263" t="str">
        <f>vlookup(B504,'Geotagging Master All-Training '!$A$2:$C$2474,3,false)</f>
        <v>#N/A</v>
      </c>
      <c r="G504" s="265" t="s">
        <v>20</v>
      </c>
      <c r="H504" s="258"/>
    </row>
    <row r="505" hidden="1">
      <c r="A505" s="258">
        <v>1247.0</v>
      </c>
      <c r="B505" s="259">
        <v>1247.0</v>
      </c>
      <c r="C505" s="260">
        <v>516.0</v>
      </c>
      <c r="D505" s="260">
        <f>IFERROR(__xludf.DUMMYFUNCTION("if(B505&lt;=999,if(B505&lt;=99,IF(B505&lt;=9,join(,""000"",B505),join(,""00"",B505)),join(,""0"",B505)),B505)"),1247.0)</f>
        <v>1247</v>
      </c>
      <c r="E505" s="263" t="str">
        <f>vlookup(B505,'Geotagging Master All-Training '!$A$2:$C$2474,2,false)</f>
        <v>#N/A</v>
      </c>
      <c r="F505" s="263" t="str">
        <f>vlookup(B505,'Geotagging Master All-Training '!$A$2:$C$2474,3,false)</f>
        <v>#N/A</v>
      </c>
      <c r="G505" s="265" t="s">
        <v>20</v>
      </c>
      <c r="H505" s="258"/>
    </row>
    <row r="506" hidden="1">
      <c r="A506" s="258">
        <v>1449.0</v>
      </c>
      <c r="B506" s="258">
        <v>1449.0</v>
      </c>
      <c r="C506" s="260">
        <v>517.0</v>
      </c>
      <c r="D506" s="260">
        <f>IFERROR(__xludf.DUMMYFUNCTION("if(B506&lt;=999,if(B506&lt;=99,IF(B506&lt;=9,join(,""000"",B506),join(,""00"",B506)),join(,""0"",B506)),B506)"),1449.0)</f>
        <v>1449</v>
      </c>
      <c r="E506" s="263" t="str">
        <f>vlookup(B506,'Geotagging Master All-Training '!$A$2:$C$2474,2,false)</f>
        <v>#N/A</v>
      </c>
      <c r="F506" s="263" t="str">
        <f>vlookup(B506,'Geotagging Master All-Training '!$A$2:$C$2474,3,false)</f>
        <v>#N/A</v>
      </c>
      <c r="G506" s="265" t="s">
        <v>20</v>
      </c>
      <c r="H506" s="258"/>
    </row>
    <row r="507" hidden="1">
      <c r="A507" s="272">
        <v>1035.0</v>
      </c>
      <c r="B507" s="272">
        <v>1035.0</v>
      </c>
      <c r="C507" s="260">
        <v>518.0</v>
      </c>
      <c r="D507" s="273">
        <f>IFERROR(__xludf.DUMMYFUNCTION("if(B507&lt;=999,if(B507&lt;=99,IF(B507&lt;=9,join(,""000"",B507),join(,""00"",B507)),join(,""0"",B507)),B507)"),1035.0)</f>
        <v>1035</v>
      </c>
      <c r="E507" s="263" t="str">
        <f>vlookup(B507,'Geotagging Master All-Training '!$A$2:$C$2474,2,false)</f>
        <v>#N/A</v>
      </c>
      <c r="F507" s="263" t="str">
        <f>vlookup(B507,'Geotagging Master All-Training '!$A$2:$C$2474,3,false)</f>
        <v>#N/A</v>
      </c>
      <c r="G507" s="276" t="s">
        <v>20</v>
      </c>
      <c r="H507" s="272"/>
    </row>
    <row r="508" hidden="1">
      <c r="A508" s="258">
        <v>226.0</v>
      </c>
      <c r="B508" s="258">
        <v>226.0</v>
      </c>
      <c r="C508" s="260">
        <v>519.0</v>
      </c>
      <c r="D508" s="260" t="str">
        <f>IFERROR(__xludf.DUMMYFUNCTION("if(B508&lt;=999,if(B508&lt;=99,IF(B508&lt;=9,join(,""000"",B508),join(,""00"",B508)),join(,""0"",B508)),B508)"),"0226")</f>
        <v>0226</v>
      </c>
      <c r="E508" s="263" t="str">
        <f>vlookup(B508,'Geotagging Master All-Training '!$A$2:$C$2474,2,false)</f>
        <v>#N/A</v>
      </c>
      <c r="F508" s="263" t="str">
        <f>vlookup(B508,'Geotagging Master All-Training '!$A$2:$C$2474,3,false)</f>
        <v>#N/A</v>
      </c>
      <c r="G508" s="265" t="s">
        <v>20</v>
      </c>
      <c r="H508" s="258"/>
    </row>
    <row r="509" hidden="1">
      <c r="A509" s="258">
        <v>1228.0</v>
      </c>
      <c r="B509" s="258">
        <v>1228.0</v>
      </c>
      <c r="C509" s="260">
        <v>522.0</v>
      </c>
      <c r="D509" s="260">
        <f>IFERROR(__xludf.DUMMYFUNCTION("if(B509&lt;=999,if(B509&lt;=99,IF(B509&lt;=9,join(,""000"",B509),join(,""00"",B509)),join(,""0"",B509)),B509)"),1228.0)</f>
        <v>1228</v>
      </c>
      <c r="E509" s="263" t="str">
        <f>vlookup(B509,'Geotagging Master All-Training '!$A$2:$C$2474,2,false)</f>
        <v>#N/A</v>
      </c>
      <c r="F509" s="263" t="str">
        <f>vlookup(B509,'Geotagging Master All-Training '!$A$2:$C$2474,3,false)</f>
        <v>#N/A</v>
      </c>
      <c r="G509" s="265" t="s">
        <v>20</v>
      </c>
      <c r="H509" s="258"/>
    </row>
    <row r="510" hidden="1">
      <c r="A510" s="258">
        <v>685.0</v>
      </c>
      <c r="B510" s="258">
        <v>685.0</v>
      </c>
      <c r="C510" s="273">
        <v>39.0</v>
      </c>
      <c r="D510" s="260" t="str">
        <f>IFERROR(__xludf.DUMMYFUNCTION("if(B510&lt;=999,if(B510&lt;=99,IF(B510&lt;=9,join(,""000"",B510),join(,""00"",B510)),join(,""0"",B510)),B510)"),"0685")</f>
        <v>0685</v>
      </c>
      <c r="E510" s="263" t="str">
        <f>vlookup(B510,'Geotagging Master All-Training '!$A$2:$C$2474,2,false)</f>
        <v>#N/A</v>
      </c>
      <c r="F510" s="263" t="str">
        <f>vlookup(B510,'Geotagging Master All-Training '!$A$2:$C$2474,3,false)</f>
        <v>#N/A</v>
      </c>
      <c r="G510" s="265" t="s">
        <v>35</v>
      </c>
      <c r="H510" s="258"/>
    </row>
    <row r="511" hidden="1">
      <c r="A511" s="272">
        <v>1337.0</v>
      </c>
      <c r="B511" s="272">
        <v>1337.0</v>
      </c>
      <c r="C511" s="273">
        <v>525.0</v>
      </c>
      <c r="D511" s="273">
        <f>IFERROR(__xludf.DUMMYFUNCTION("if(B511&lt;=999,if(B511&lt;=99,IF(B511&lt;=9,join(,""000"",B511),join(,""00"",B511)),join(,""0"",B511)),B511)"),1337.0)</f>
        <v>1337</v>
      </c>
      <c r="E511" s="303" t="str">
        <f>vlookup(B511,'Geotagging Master All-Training '!$A$2:$C$2474,2,false)</f>
        <v>#N/A</v>
      </c>
      <c r="F511" s="303" t="str">
        <f>vlookup(B511,'Geotagging Master All-Training '!$A$2:$C$2474,3,false)</f>
        <v>#N/A</v>
      </c>
      <c r="G511" s="276" t="s">
        <v>20</v>
      </c>
      <c r="H511" s="272"/>
    </row>
    <row r="512" hidden="1">
      <c r="A512" s="258">
        <v>1441.0</v>
      </c>
      <c r="B512" s="259">
        <v>1441.0</v>
      </c>
      <c r="C512" s="260">
        <v>526.0</v>
      </c>
      <c r="D512" s="260">
        <f>IFERROR(__xludf.DUMMYFUNCTION("if(B512&lt;=999,if(B512&lt;=99,IF(B512&lt;=9,join(,""000"",B512),join(,""00"",B512)),join(,""0"",B512)),B512)"),1441.0)</f>
        <v>1441</v>
      </c>
      <c r="E512" s="263" t="str">
        <f>vlookup(B512,'Geotagging Master All-Training '!$A$2:$C$2474,2,false)</f>
        <v>#N/A</v>
      </c>
      <c r="F512" s="263" t="str">
        <f>vlookup(B512,'Geotagging Master All-Training '!$A$2:$C$2474,3,false)</f>
        <v>#N/A</v>
      </c>
      <c r="G512" s="265" t="s">
        <v>20</v>
      </c>
      <c r="H512" s="258"/>
    </row>
    <row r="513" hidden="1">
      <c r="A513" s="258">
        <v>1422.0</v>
      </c>
      <c r="B513" s="259">
        <v>1422.0</v>
      </c>
      <c r="C513" s="260">
        <v>527.0</v>
      </c>
      <c r="D513" s="260">
        <f>IFERROR(__xludf.DUMMYFUNCTION("if(B513&lt;=999,if(B513&lt;=99,IF(B513&lt;=9,join(,""000"",B513),join(,""00"",B513)),join(,""0"",B513)),B513)"),1422.0)</f>
        <v>1422</v>
      </c>
      <c r="E513" s="263" t="str">
        <f>vlookup(B513,'Geotagging Master All-Training '!$A$2:$C$2474,2,false)</f>
        <v>#N/A</v>
      </c>
      <c r="F513" s="263" t="str">
        <f>vlookup(B513,'Geotagging Master All-Training '!$A$2:$C$2474,3,false)</f>
        <v>#N/A</v>
      </c>
      <c r="G513" s="265" t="s">
        <v>20</v>
      </c>
      <c r="H513" s="258"/>
    </row>
    <row r="514" hidden="1">
      <c r="A514" s="258">
        <v>462.0</v>
      </c>
      <c r="B514" s="258">
        <v>462.0</v>
      </c>
      <c r="C514" s="260">
        <v>529.0</v>
      </c>
      <c r="D514" s="260" t="str">
        <f>IFERROR(__xludf.DUMMYFUNCTION("if(B514&lt;=999,if(B514&lt;=99,IF(B514&lt;=9,join(,""000"",B514),join(,""00"",B514)),join(,""0"",B514)),B514)"),"0462")</f>
        <v>0462</v>
      </c>
      <c r="E514" s="263" t="str">
        <f>vlookup(B514,'Geotagging Master All-Training '!$A$2:$C$2474,2,false)</f>
        <v>#N/A</v>
      </c>
      <c r="F514" s="263" t="str">
        <f>vlookup(B514,'Geotagging Master All-Training '!$A$2:$C$2474,3,false)</f>
        <v>#N/A</v>
      </c>
      <c r="G514" s="265" t="s">
        <v>20</v>
      </c>
      <c r="H514" s="258"/>
    </row>
    <row r="515" hidden="1">
      <c r="A515" s="258">
        <v>1193.0</v>
      </c>
      <c r="B515" s="258">
        <v>1193.0</v>
      </c>
      <c r="C515" s="260">
        <v>530.0</v>
      </c>
      <c r="D515" s="260">
        <f>IFERROR(__xludf.DUMMYFUNCTION("if(B515&lt;=999,if(B515&lt;=99,IF(B515&lt;=9,join(,""000"",B515),join(,""00"",B515)),join(,""0"",B515)),B515)"),1193.0)</f>
        <v>1193</v>
      </c>
      <c r="E515" s="263" t="str">
        <f>vlookup(B515,'Geotagging Master All-Training '!$A$2:$C$2474,2,false)</f>
        <v>#N/A</v>
      </c>
      <c r="F515" s="263" t="str">
        <f>vlookup(B515,'Geotagging Master All-Training '!$A$2:$C$2474,3,false)</f>
        <v>#N/A</v>
      </c>
      <c r="G515" s="265" t="s">
        <v>20</v>
      </c>
      <c r="H515" s="258"/>
    </row>
    <row r="516" hidden="1">
      <c r="A516" s="258">
        <v>1401.0</v>
      </c>
      <c r="B516" s="258">
        <v>1401.0</v>
      </c>
      <c r="C516" s="260">
        <v>531.0</v>
      </c>
      <c r="D516" s="260">
        <f>IFERROR(__xludf.DUMMYFUNCTION("if(B516&lt;=999,if(B516&lt;=99,IF(B516&lt;=9,join(,""000"",B516),join(,""00"",B516)),join(,""0"",B516)),B516)"),1401.0)</f>
        <v>1401</v>
      </c>
      <c r="E516" s="263" t="str">
        <f>vlookup(B516,'Geotagging Master All-Training '!$A$2:$C$2474,2,false)</f>
        <v>#N/A</v>
      </c>
      <c r="F516" s="263" t="str">
        <f>vlookup(B516,'Geotagging Master All-Training '!$A$2:$C$2474,3,false)</f>
        <v>#N/A</v>
      </c>
      <c r="G516" s="265" t="s">
        <v>20</v>
      </c>
      <c r="H516" s="258"/>
    </row>
    <row r="517" hidden="1">
      <c r="A517" s="258">
        <v>1339.0</v>
      </c>
      <c r="B517" s="258">
        <v>1339.0</v>
      </c>
      <c r="C517" s="260">
        <v>532.0</v>
      </c>
      <c r="D517" s="260">
        <f>IFERROR(__xludf.DUMMYFUNCTION("if(B517&lt;=999,if(B517&lt;=99,IF(B517&lt;=9,join(,""000"",B517),join(,""00"",B517)),join(,""0"",B517)),B517)"),1339.0)</f>
        <v>1339</v>
      </c>
      <c r="E517" s="263" t="str">
        <f>vlookup(B517,'Geotagging Master All-Training '!$A$2:$C$2474,2,false)</f>
        <v>#N/A</v>
      </c>
      <c r="F517" s="263" t="str">
        <f>vlookup(B517,'Geotagging Master All-Training '!$A$2:$C$2474,3,false)</f>
        <v>#N/A</v>
      </c>
      <c r="G517" s="265" t="s">
        <v>20</v>
      </c>
      <c r="H517" s="258"/>
    </row>
    <row r="518" hidden="1">
      <c r="A518" s="258">
        <v>1338.0</v>
      </c>
      <c r="B518" s="258">
        <v>1338.0</v>
      </c>
      <c r="C518" s="260">
        <v>533.0</v>
      </c>
      <c r="D518" s="260">
        <f>IFERROR(__xludf.DUMMYFUNCTION("if(B518&lt;=999,if(B518&lt;=99,IF(B518&lt;=9,join(,""000"",B518),join(,""00"",B518)),join(,""0"",B518)),B518)"),1338.0)</f>
        <v>1338</v>
      </c>
      <c r="E518" s="263" t="str">
        <f>vlookup(B518,'Geotagging Master All-Training '!$A$2:$C$2474,2,false)</f>
        <v>#N/A</v>
      </c>
      <c r="F518" s="263" t="str">
        <f>vlookup(B518,'Geotagging Master All-Training '!$A$2:$C$2474,3,false)</f>
        <v>#N/A</v>
      </c>
      <c r="G518" s="265" t="s">
        <v>20</v>
      </c>
      <c r="H518" s="258"/>
    </row>
    <row r="519" hidden="1">
      <c r="A519" s="258">
        <v>115.0</v>
      </c>
      <c r="B519" s="259">
        <v>115.0</v>
      </c>
      <c r="C519" s="260">
        <v>534.0</v>
      </c>
      <c r="D519" s="260" t="str">
        <f>IFERROR(__xludf.DUMMYFUNCTION("if(B519&lt;=999,if(B519&lt;=99,IF(B519&lt;=9,join(,""000"",B519),join(,""00"",B519)),join(,""0"",B519)),B519)"),"0115")</f>
        <v>0115</v>
      </c>
      <c r="E519" s="263" t="str">
        <f>vlookup(B519,'Geotagging Master All-Training '!$A$2:$C$2474,2,false)</f>
        <v>#N/A</v>
      </c>
      <c r="F519" s="263" t="str">
        <f>vlookup(B519,'Geotagging Master All-Training '!$A$2:$C$2474,3,false)</f>
        <v>#N/A</v>
      </c>
      <c r="G519" s="265" t="s">
        <v>20</v>
      </c>
      <c r="H519" s="258"/>
    </row>
    <row r="520" hidden="1">
      <c r="A520" s="258">
        <v>1351.0</v>
      </c>
      <c r="B520" s="259">
        <v>1351.0</v>
      </c>
      <c r="C520" s="260">
        <v>535.0</v>
      </c>
      <c r="D520" s="260">
        <f>IFERROR(__xludf.DUMMYFUNCTION("if(B520&lt;=999,if(B520&lt;=99,IF(B520&lt;=9,join(,""000"",B520),join(,""00"",B520)),join(,""0"",B520)),B520)"),1351.0)</f>
        <v>1351</v>
      </c>
      <c r="E520" s="263" t="str">
        <f>vlookup(B520,'Geotagging Master All-Training '!$A$2:$C$2474,2,false)</f>
        <v>#N/A</v>
      </c>
      <c r="F520" s="263" t="str">
        <f>vlookup(B520,'Geotagging Master All-Training '!$A$2:$C$2474,3,false)</f>
        <v>#N/A</v>
      </c>
      <c r="G520" s="265" t="s">
        <v>20</v>
      </c>
      <c r="H520" s="258"/>
    </row>
    <row r="521" hidden="1">
      <c r="A521" s="258">
        <v>1231.0</v>
      </c>
      <c r="B521" s="258">
        <v>1231.0</v>
      </c>
      <c r="C521" s="260">
        <v>536.0</v>
      </c>
      <c r="D521" s="260">
        <f>IFERROR(__xludf.DUMMYFUNCTION("if(B521&lt;=999,if(B521&lt;=99,IF(B521&lt;=9,join(,""000"",B521),join(,""00"",B521)),join(,""0"",B521)),B521)"),1231.0)</f>
        <v>1231</v>
      </c>
      <c r="E521" s="263" t="str">
        <f>vlookup(B521,'Geotagging Master All-Training '!$A$2:$C$2474,2,false)</f>
        <v>#N/A</v>
      </c>
      <c r="F521" s="263" t="str">
        <f>vlookup(B521,'Geotagging Master All-Training '!$A$2:$C$2474,3,false)</f>
        <v>#N/A</v>
      </c>
      <c r="G521" s="265" t="s">
        <v>20</v>
      </c>
      <c r="H521" s="258"/>
    </row>
    <row r="522" hidden="1">
      <c r="A522" s="258">
        <v>1319.0</v>
      </c>
      <c r="B522" s="259">
        <v>1319.0</v>
      </c>
      <c r="C522" s="260">
        <v>537.0</v>
      </c>
      <c r="D522" s="260">
        <f>IFERROR(__xludf.DUMMYFUNCTION("if(B522&lt;=999,if(B522&lt;=99,IF(B522&lt;=9,join(,""000"",B522),join(,""00"",B522)),join(,""0"",B522)),B522)"),1319.0)</f>
        <v>1319</v>
      </c>
      <c r="E522" s="263" t="str">
        <f>vlookup(B522,'Geotagging Master All-Training '!$A$2:$C$2474,2,false)</f>
        <v>#N/A</v>
      </c>
      <c r="F522" s="263" t="str">
        <f>vlookup(B522,'Geotagging Master All-Training '!$A$2:$C$2474,3,false)</f>
        <v>#N/A</v>
      </c>
      <c r="G522" s="265" t="s">
        <v>20</v>
      </c>
      <c r="H522" s="258"/>
    </row>
    <row r="523" hidden="1">
      <c r="A523" s="258">
        <v>1434.0</v>
      </c>
      <c r="B523" s="258">
        <v>1434.0</v>
      </c>
      <c r="C523" s="260">
        <v>538.0</v>
      </c>
      <c r="D523" s="260">
        <f>IFERROR(__xludf.DUMMYFUNCTION("if(B523&lt;=999,if(B523&lt;=99,IF(B523&lt;=9,join(,""000"",B523),join(,""00"",B523)),join(,""0"",B523)),B523)"),1434.0)</f>
        <v>1434</v>
      </c>
      <c r="E523" s="263" t="str">
        <f>vlookup(B523,'Geotagging Master All-Training '!$A$2:$C$2474,2,false)</f>
        <v>#N/A</v>
      </c>
      <c r="F523" s="263" t="str">
        <f>vlookup(B523,'Geotagging Master All-Training '!$A$2:$C$2474,3,false)</f>
        <v>#N/A</v>
      </c>
      <c r="G523" s="265" t="s">
        <v>20</v>
      </c>
      <c r="H523" s="258"/>
    </row>
    <row r="524" hidden="1">
      <c r="A524" s="258">
        <v>1201.0</v>
      </c>
      <c r="B524" s="258">
        <v>1201.0</v>
      </c>
      <c r="C524" s="260">
        <v>539.0</v>
      </c>
      <c r="D524" s="260">
        <f>IFERROR(__xludf.DUMMYFUNCTION("if(B524&lt;=999,if(B524&lt;=99,IF(B524&lt;=9,join(,""000"",B524),join(,""00"",B524)),join(,""0"",B524)),B524)"),1201.0)</f>
        <v>1201</v>
      </c>
      <c r="E524" s="263" t="str">
        <f>vlookup(B524,'Geotagging Master All-Training '!$A$2:$C$2474,2,false)</f>
        <v>#N/A</v>
      </c>
      <c r="F524" s="263" t="str">
        <f>vlookup(B524,'Geotagging Master All-Training '!$A$2:$C$2474,3,false)</f>
        <v>#N/A</v>
      </c>
      <c r="G524" s="265" t="s">
        <v>20</v>
      </c>
      <c r="H524" s="258"/>
    </row>
    <row r="525" hidden="1">
      <c r="A525" s="258">
        <v>463.0</v>
      </c>
      <c r="B525" s="258">
        <v>463.0</v>
      </c>
      <c r="C525" s="260">
        <v>540.0</v>
      </c>
      <c r="D525" s="260" t="str">
        <f>IFERROR(__xludf.DUMMYFUNCTION("if(B525&lt;=999,if(B525&lt;=99,IF(B525&lt;=9,join(,""000"",B525),join(,""00"",B525)),join(,""0"",B525)),B525)"),"0463")</f>
        <v>0463</v>
      </c>
      <c r="E525" s="263" t="str">
        <f>vlookup(B525,'Geotagging Master All-Training '!$A$2:$C$2474,2,false)</f>
        <v>#N/A</v>
      </c>
      <c r="F525" s="263" t="str">
        <f>vlookup(B525,'Geotagging Master All-Training '!$A$2:$C$2474,3,false)</f>
        <v>#N/A</v>
      </c>
      <c r="G525" s="265" t="s">
        <v>20</v>
      </c>
      <c r="H525" s="258"/>
    </row>
    <row r="526" hidden="1">
      <c r="A526" s="258">
        <v>1196.0</v>
      </c>
      <c r="B526" s="258">
        <v>1196.0</v>
      </c>
      <c r="C526" s="260">
        <v>541.0</v>
      </c>
      <c r="D526" s="260">
        <f>IFERROR(__xludf.DUMMYFUNCTION("if(B526&lt;=999,if(B526&lt;=99,IF(B526&lt;=9,join(,""000"",B526),join(,""00"",B526)),join(,""0"",B526)),B526)"),1196.0)</f>
        <v>1196</v>
      </c>
      <c r="E526" s="263" t="str">
        <f>vlookup(B526,'Geotagging Master All-Training '!$A$2:$C$2474,2,false)</f>
        <v>#N/A</v>
      </c>
      <c r="F526" s="263" t="str">
        <f>vlookup(B526,'Geotagging Master All-Training '!$A$2:$C$2474,3,false)</f>
        <v>#N/A</v>
      </c>
      <c r="G526" s="265" t="s">
        <v>20</v>
      </c>
      <c r="H526" s="258"/>
    </row>
    <row r="527" hidden="1">
      <c r="A527" s="258">
        <v>22.0</v>
      </c>
      <c r="B527" s="259">
        <v>22.0</v>
      </c>
      <c r="C527" s="260">
        <v>542.0</v>
      </c>
      <c r="D527" s="260" t="str">
        <f>IFERROR(__xludf.DUMMYFUNCTION("if(B527&lt;=999,if(B527&lt;=99,IF(B527&lt;=9,join(,""000"",B527),join(,""00"",B527)),join(,""0"",B527)),B527)"),"0022")</f>
        <v>0022</v>
      </c>
      <c r="E527" s="263" t="str">
        <f>vlookup(B527,'Geotagging Master All-Training '!$A$2:$C$2474,2,false)</f>
        <v>#N/A</v>
      </c>
      <c r="F527" s="263" t="str">
        <f>vlookup(B527,'Geotagging Master All-Training '!$A$2:$C$2474,3,false)</f>
        <v>#N/A</v>
      </c>
      <c r="G527" s="265" t="s">
        <v>20</v>
      </c>
      <c r="H527" s="258"/>
    </row>
    <row r="528" hidden="1">
      <c r="A528" s="258">
        <v>1407.0</v>
      </c>
      <c r="B528" s="258">
        <v>1407.0</v>
      </c>
      <c r="C528" s="260">
        <v>543.0</v>
      </c>
      <c r="D528" s="260">
        <f>IFERROR(__xludf.DUMMYFUNCTION("if(B528&lt;=999,if(B528&lt;=99,IF(B528&lt;=9,join(,""000"",B528),join(,""00"",B528)),join(,""0"",B528)),B528)"),1407.0)</f>
        <v>1407</v>
      </c>
      <c r="E528" s="263" t="str">
        <f>vlookup(B528,'Geotagging Master All-Training '!$A$2:$C$2474,2,false)</f>
        <v>#N/A</v>
      </c>
      <c r="F528" s="263" t="str">
        <f>vlookup(B528,'Geotagging Master All-Training '!$A$2:$C$2474,3,false)</f>
        <v>#N/A</v>
      </c>
      <c r="G528" s="265" t="s">
        <v>20</v>
      </c>
      <c r="H528" s="258"/>
    </row>
    <row r="529" hidden="1">
      <c r="A529" s="258">
        <v>234.0</v>
      </c>
      <c r="B529" s="259">
        <v>234.0</v>
      </c>
      <c r="C529" s="260">
        <v>544.0</v>
      </c>
      <c r="D529" s="260" t="str">
        <f>IFERROR(__xludf.DUMMYFUNCTION("if(B529&lt;=999,if(B529&lt;=99,IF(B529&lt;=9,join(,""000"",B529),join(,""00"",B529)),join(,""0"",B529)),B529)"),"0234")</f>
        <v>0234</v>
      </c>
      <c r="E529" s="263" t="str">
        <f>vlookup(B529,'Geotagging Master All-Training '!$A$2:$C$2474,2,false)</f>
        <v>#N/A</v>
      </c>
      <c r="F529" s="263" t="str">
        <f>vlookup(B529,'Geotagging Master All-Training '!$A$2:$C$2474,3,false)</f>
        <v>#N/A</v>
      </c>
      <c r="G529" s="265" t="s">
        <v>20</v>
      </c>
      <c r="H529" s="258"/>
    </row>
    <row r="530" hidden="1">
      <c r="A530" s="272">
        <v>529.0</v>
      </c>
      <c r="B530" s="272">
        <v>529.0</v>
      </c>
      <c r="C530" s="260">
        <v>545.0</v>
      </c>
      <c r="D530" s="273" t="str">
        <f>IFERROR(__xludf.DUMMYFUNCTION("if(B530&lt;=999,if(B530&lt;=99,IF(B530&lt;=9,join(,""000"",B530),join(,""00"",B530)),join(,""0"",B530)),B530)"),"0529")</f>
        <v>0529</v>
      </c>
      <c r="E530" s="263" t="str">
        <f>vlookup(B530,'Geotagging Master All-Training '!$A$2:$C$2474,2,false)</f>
        <v>#N/A</v>
      </c>
      <c r="F530" s="263" t="str">
        <f>vlookup(B530,'Geotagging Master All-Training '!$A$2:$C$2474,3,false)</f>
        <v>#N/A</v>
      </c>
      <c r="G530" s="276" t="s">
        <v>20</v>
      </c>
      <c r="H530" s="272"/>
    </row>
    <row r="531" hidden="1">
      <c r="A531" s="272">
        <v>235.0</v>
      </c>
      <c r="B531" s="272">
        <v>235.0</v>
      </c>
      <c r="C531" s="260">
        <v>546.0</v>
      </c>
      <c r="D531" s="273" t="str">
        <f>IFERROR(__xludf.DUMMYFUNCTION("if(B531&lt;=999,if(B531&lt;=99,IF(B531&lt;=9,join(,""000"",B531),join(,""00"",B531)),join(,""0"",B531)),B531)"),"0235")</f>
        <v>0235</v>
      </c>
      <c r="E531" s="263" t="str">
        <f>vlookup(B531,'Geotagging Master All-Training '!$A$2:$C$2474,2,false)</f>
        <v>#N/A</v>
      </c>
      <c r="F531" s="263" t="str">
        <f>vlookup(B531,'Geotagging Master All-Training '!$A$2:$C$2474,3,false)</f>
        <v>#N/A</v>
      </c>
      <c r="G531" s="276" t="s">
        <v>20</v>
      </c>
      <c r="H531" s="272"/>
    </row>
    <row r="532" hidden="1">
      <c r="A532" s="272">
        <v>1145.0</v>
      </c>
      <c r="B532" s="272">
        <v>1145.0</v>
      </c>
      <c r="C532" s="260">
        <v>548.0</v>
      </c>
      <c r="D532" s="273">
        <f>IFERROR(__xludf.DUMMYFUNCTION("if(B532&lt;=999,if(B532&lt;=99,IF(B532&lt;=9,join(,""000"",B532),join(,""00"",B532)),join(,""0"",B532)),B532)"),1145.0)</f>
        <v>1145</v>
      </c>
      <c r="E532" s="263" t="str">
        <f>vlookup(B532,'Geotagging Master All-Training '!$A$2:$C$2474,2,false)</f>
        <v>#N/A</v>
      </c>
      <c r="F532" s="263" t="str">
        <f>vlookup(B532,'Geotagging Master All-Training '!$A$2:$C$2474,3,false)</f>
        <v>#N/A</v>
      </c>
      <c r="G532" s="276" t="s">
        <v>20</v>
      </c>
      <c r="H532" s="272"/>
    </row>
    <row r="533" hidden="1">
      <c r="A533" s="258">
        <v>1040.0</v>
      </c>
      <c r="B533" s="259">
        <v>1040.0</v>
      </c>
      <c r="C533" s="260">
        <v>549.0</v>
      </c>
      <c r="D533" s="260">
        <f>IFERROR(__xludf.DUMMYFUNCTION("if(B533&lt;=999,if(B533&lt;=99,IF(B533&lt;=9,join(,""000"",B533),join(,""00"",B533)),join(,""0"",B533)),B533)"),1040.0)</f>
        <v>1040</v>
      </c>
      <c r="E533" s="263" t="str">
        <f>vlookup(B533,'Geotagging Master All-Training '!$A$2:$C$2474,2,false)</f>
        <v>#N/A</v>
      </c>
      <c r="F533" s="263" t="str">
        <f>vlookup(B533,'Geotagging Master All-Training '!$A$2:$C$2474,3,false)</f>
        <v>#N/A</v>
      </c>
      <c r="G533" s="265" t="s">
        <v>20</v>
      </c>
      <c r="H533" s="258"/>
    </row>
    <row r="534" hidden="1">
      <c r="A534" s="258">
        <v>78.0</v>
      </c>
      <c r="B534" s="258">
        <v>78.0</v>
      </c>
      <c r="C534" s="260">
        <v>550.0</v>
      </c>
      <c r="D534" s="260" t="str">
        <f>IFERROR(__xludf.DUMMYFUNCTION("if(B534&lt;=999,if(B534&lt;=99,IF(B534&lt;=9,join(,""000"",B534),join(,""00"",B534)),join(,""0"",B534)),B534)"),"0078")</f>
        <v>0078</v>
      </c>
      <c r="E534" s="263" t="str">
        <f>vlookup(B534,'Geotagging Master All-Training '!$A$2:$C$2474,2,false)</f>
        <v>#N/A</v>
      </c>
      <c r="F534" s="263" t="str">
        <f>vlookup(B534,'Geotagging Master All-Training '!$A$2:$C$2474,3,false)</f>
        <v>#N/A</v>
      </c>
      <c r="G534" s="265" t="s">
        <v>20</v>
      </c>
      <c r="H534" s="258"/>
    </row>
    <row r="535" hidden="1">
      <c r="A535" s="258">
        <v>1448.0</v>
      </c>
      <c r="B535" s="258">
        <v>1448.0</v>
      </c>
      <c r="C535" s="260">
        <v>551.0</v>
      </c>
      <c r="D535" s="260">
        <f>IFERROR(__xludf.DUMMYFUNCTION("if(B535&lt;=999,if(B535&lt;=99,IF(B535&lt;=9,join(,""000"",B535),join(,""00"",B535)),join(,""0"",B535)),B535)"),1448.0)</f>
        <v>1448</v>
      </c>
      <c r="E535" s="263" t="str">
        <f>vlookup(B535,'Geotagging Master All-Training '!$A$2:$C$2474,2,false)</f>
        <v>#N/A</v>
      </c>
      <c r="F535" s="263" t="str">
        <f>vlookup(B535,'Geotagging Master All-Training '!$A$2:$C$2474,3,false)</f>
        <v>#N/A</v>
      </c>
      <c r="G535" s="265" t="s">
        <v>20</v>
      </c>
      <c r="H535" s="258"/>
    </row>
    <row r="536" hidden="1">
      <c r="A536" s="272">
        <v>230.0</v>
      </c>
      <c r="B536" s="272">
        <v>230.0</v>
      </c>
      <c r="C536" s="260">
        <v>552.0</v>
      </c>
      <c r="D536" s="273" t="str">
        <f>IFERROR(__xludf.DUMMYFUNCTION("if(B536&lt;=999,if(B536&lt;=99,IF(B536&lt;=9,join(,""000"",B536),join(,""00"",B536)),join(,""0"",B536)),B536)"),"0230")</f>
        <v>0230</v>
      </c>
      <c r="E536" s="263" t="str">
        <f>vlookup(B536,'Geotagging Master All-Training '!$A$2:$C$2474,2,false)</f>
        <v>#N/A</v>
      </c>
      <c r="F536" s="263" t="str">
        <f>vlookup(B536,'Geotagging Master All-Training '!$A$2:$C$2474,3,false)</f>
        <v>#N/A</v>
      </c>
      <c r="G536" s="276" t="s">
        <v>20</v>
      </c>
      <c r="H536" s="272"/>
    </row>
    <row r="537" hidden="1">
      <c r="A537" s="258">
        <v>635.0</v>
      </c>
      <c r="B537" s="258">
        <v>635.0</v>
      </c>
      <c r="C537" s="260">
        <v>553.0</v>
      </c>
      <c r="D537" s="260" t="str">
        <f>IFERROR(__xludf.DUMMYFUNCTION("if(B537&lt;=999,if(B537&lt;=99,IF(B537&lt;=9,join(,""000"",B537),join(,""00"",B537)),join(,""0"",B537)),B537)"),"0635")</f>
        <v>0635</v>
      </c>
      <c r="E537" s="263" t="str">
        <f>vlookup(B537,'Geotagging Master All-Training '!$A$2:$C$2474,2,false)</f>
        <v>#N/A</v>
      </c>
      <c r="F537" s="263" t="str">
        <f>vlookup(B537,'Geotagging Master All-Training '!$A$2:$C$2474,3,false)</f>
        <v>#N/A</v>
      </c>
      <c r="G537" s="265" t="s">
        <v>20</v>
      </c>
      <c r="H537" s="258"/>
    </row>
    <row r="538" hidden="1">
      <c r="A538" s="272">
        <v>1357.0</v>
      </c>
      <c r="B538" s="272">
        <v>1357.0</v>
      </c>
      <c r="C538" s="260">
        <v>554.0</v>
      </c>
      <c r="D538" s="273">
        <f>IFERROR(__xludf.DUMMYFUNCTION("if(B538&lt;=999,if(B538&lt;=99,IF(B538&lt;=9,join(,""000"",B538),join(,""00"",B538)),join(,""0"",B538)),B538)"),1357.0)</f>
        <v>1357</v>
      </c>
      <c r="E538" s="263" t="str">
        <f>vlookup(B538,'Geotagging Master All-Training '!$A$2:$C$2474,2,false)</f>
        <v>#N/A</v>
      </c>
      <c r="F538" s="263" t="str">
        <f>vlookup(B538,'Geotagging Master All-Training '!$A$2:$C$2474,3,false)</f>
        <v>#N/A</v>
      </c>
      <c r="G538" s="276" t="s">
        <v>20</v>
      </c>
      <c r="H538" s="272"/>
    </row>
    <row r="539" hidden="1">
      <c r="A539" s="272">
        <v>246.0</v>
      </c>
      <c r="B539" s="272">
        <v>246.0</v>
      </c>
      <c r="C539" s="273">
        <v>573.0</v>
      </c>
      <c r="D539" s="273" t="str">
        <f>IFERROR(__xludf.DUMMYFUNCTION("if(B539&lt;=999,if(B539&lt;=99,IF(B539&lt;=9,join(,""000"",B539),join(,""00"",B539)),join(,""0"",B539)),B539)"),"0246")</f>
        <v>0246</v>
      </c>
      <c r="E539" s="303" t="str">
        <f>vlookup(B539,'Geotagging Master All-Training '!$A$2:$C$2474,2,false)</f>
        <v>#N/A</v>
      </c>
      <c r="F539" s="303" t="str">
        <f>vlookup(B539,'Geotagging Master All-Training '!$A$2:$C$2474,3,false)</f>
        <v>#N/A</v>
      </c>
      <c r="G539" s="276" t="s">
        <v>20</v>
      </c>
      <c r="H539" s="272"/>
    </row>
    <row r="540" hidden="1">
      <c r="A540" s="324">
        <v>955.0</v>
      </c>
      <c r="B540" s="324">
        <v>955.0</v>
      </c>
      <c r="C540" s="325">
        <v>556.0</v>
      </c>
      <c r="D540" s="325" t="str">
        <f>IFERROR(__xludf.DUMMYFUNCTION("if(B540&lt;=999,if(B540&lt;=99,IF(B540&lt;=9,join(,""000"",B540),join(,""00"",B540)),join(,""0"",B540)),B540)"),"0955")</f>
        <v>0955</v>
      </c>
      <c r="E540" s="327" t="str">
        <f>vlookup(B540,'Geotagging Master All-Training '!$A$2:$C$2474,2,false)</f>
        <v>#N/A</v>
      </c>
      <c r="F540" s="327" t="str">
        <f>vlookup(B540,'Geotagging Master All-Training '!$A$2:$C$2474,3,false)</f>
        <v>#N/A</v>
      </c>
      <c r="G540" s="328" t="s">
        <v>20</v>
      </c>
      <c r="H540" s="51"/>
    </row>
    <row r="541" hidden="1">
      <c r="A541" s="258">
        <v>1278.0</v>
      </c>
      <c r="B541" s="258">
        <v>1278.0</v>
      </c>
      <c r="C541" s="260">
        <v>557.0</v>
      </c>
      <c r="D541" s="260">
        <f>IFERROR(__xludf.DUMMYFUNCTION("if(B541&lt;=999,if(B541&lt;=99,IF(B541&lt;=9,join(,""000"",B541),join(,""00"",B541)),join(,""0"",B541)),B541)"),1278.0)</f>
        <v>1278</v>
      </c>
      <c r="E541" s="263" t="str">
        <f>vlookup(B541,'Geotagging Master All-Training '!$A$2:$C$2474,2,false)</f>
        <v>#N/A</v>
      </c>
      <c r="F541" s="263" t="str">
        <f>vlookup(B541,'Geotagging Master All-Training '!$A$2:$C$2474,3,false)</f>
        <v>#N/A</v>
      </c>
      <c r="G541" s="265" t="s">
        <v>20</v>
      </c>
      <c r="H541" s="258"/>
    </row>
    <row r="542" hidden="1">
      <c r="A542" s="272">
        <v>1261.0</v>
      </c>
      <c r="B542" s="272">
        <v>1261.0</v>
      </c>
      <c r="C542" s="260">
        <v>558.0</v>
      </c>
      <c r="D542" s="273">
        <f>IFERROR(__xludf.DUMMYFUNCTION("if(B542&lt;=999,if(B542&lt;=99,IF(B542&lt;=9,join(,""000"",B542),join(,""00"",B542)),join(,""0"",B542)),B542)"),1261.0)</f>
        <v>1261</v>
      </c>
      <c r="E542" s="263" t="str">
        <f>vlookup(B542,'Geotagging Master All-Training '!$A$2:$C$2474,2,false)</f>
        <v>#N/A</v>
      </c>
      <c r="F542" s="263" t="str">
        <f>vlookup(B542,'Geotagging Master All-Training '!$A$2:$C$2474,3,false)</f>
        <v>#N/A</v>
      </c>
      <c r="G542" s="276" t="s">
        <v>20</v>
      </c>
      <c r="H542" s="272"/>
    </row>
    <row r="543" hidden="1">
      <c r="A543" s="258">
        <v>1259.0</v>
      </c>
      <c r="B543" s="258">
        <v>1259.0</v>
      </c>
      <c r="C543" s="260">
        <v>559.0</v>
      </c>
      <c r="D543" s="260">
        <f>IFERROR(__xludf.DUMMYFUNCTION("if(B543&lt;=999,if(B543&lt;=99,IF(B543&lt;=9,join(,""000"",B543),join(,""00"",B543)),join(,""0"",B543)),B543)"),1259.0)</f>
        <v>1259</v>
      </c>
      <c r="E543" s="263" t="str">
        <f>vlookup(B543,'Geotagging Master All-Training '!$A$2:$C$2474,2,false)</f>
        <v>#N/A</v>
      </c>
      <c r="F543" s="263" t="str">
        <f>vlookup(B543,'Geotagging Master All-Training '!$A$2:$C$2474,3,false)</f>
        <v>#N/A</v>
      </c>
      <c r="G543" s="265" t="s">
        <v>20</v>
      </c>
      <c r="H543" s="258"/>
    </row>
    <row r="544" hidden="1">
      <c r="A544" s="258">
        <v>1321.0</v>
      </c>
      <c r="B544" s="258">
        <v>1321.0</v>
      </c>
      <c r="C544" s="260">
        <v>560.0</v>
      </c>
      <c r="D544" s="260">
        <f>IFERROR(__xludf.DUMMYFUNCTION("if(B544&lt;=999,if(B544&lt;=99,IF(B544&lt;=9,join(,""000"",B544),join(,""00"",B544)),join(,""0"",B544)),B544)"),1321.0)</f>
        <v>1321</v>
      </c>
      <c r="E544" s="263" t="str">
        <f>vlookup(B544,'Geotagging Master All-Training '!$A$2:$C$2474,2,false)</f>
        <v>#N/A</v>
      </c>
      <c r="F544" s="263" t="str">
        <f>vlookup(B544,'Geotagging Master All-Training '!$A$2:$C$2474,3,false)</f>
        <v>#N/A</v>
      </c>
      <c r="G544" s="265" t="s">
        <v>20</v>
      </c>
      <c r="H544" s="258"/>
    </row>
    <row r="545" hidden="1">
      <c r="A545" s="258">
        <v>252.0</v>
      </c>
      <c r="B545" s="258">
        <v>252.0</v>
      </c>
      <c r="C545" s="260">
        <v>561.0</v>
      </c>
      <c r="D545" s="260" t="str">
        <f>IFERROR(__xludf.DUMMYFUNCTION("if(B545&lt;=999,if(B545&lt;=99,IF(B545&lt;=9,join(,""000"",B545),join(,""00"",B545)),join(,""0"",B545)),B545)"),"0252")</f>
        <v>0252</v>
      </c>
      <c r="E545" s="263" t="str">
        <f>vlookup(B545,'Geotagging Master All-Training '!$A$2:$C$2474,2,false)</f>
        <v>#N/A</v>
      </c>
      <c r="F545" s="263" t="str">
        <f>vlookup(B545,'Geotagging Master All-Training '!$A$2:$C$2474,3,false)</f>
        <v>#N/A</v>
      </c>
      <c r="G545" s="265" t="s">
        <v>20</v>
      </c>
      <c r="H545" s="258"/>
    </row>
    <row r="546" hidden="1">
      <c r="A546" s="258">
        <v>633.0</v>
      </c>
      <c r="B546" s="258">
        <v>633.0</v>
      </c>
      <c r="C546" s="260">
        <v>562.0</v>
      </c>
      <c r="D546" s="260" t="str">
        <f>IFERROR(__xludf.DUMMYFUNCTION("if(B546&lt;=999,if(B546&lt;=99,IF(B546&lt;=9,join(,""000"",B546),join(,""00"",B546)),join(,""0"",B546)),B546)"),"0633")</f>
        <v>0633</v>
      </c>
      <c r="E546" s="263" t="str">
        <f>vlookup(B546,'Geotagging Master All-Training '!$A$2:$C$2474,2,false)</f>
        <v>#N/A</v>
      </c>
      <c r="F546" s="263" t="str">
        <f>vlookup(B546,'Geotagging Master All-Training '!$A$2:$C$2474,3,false)</f>
        <v>#N/A</v>
      </c>
      <c r="G546" s="265" t="s">
        <v>20</v>
      </c>
      <c r="H546" s="258"/>
    </row>
    <row r="547" hidden="1">
      <c r="A547" s="258">
        <v>1150.0</v>
      </c>
      <c r="B547" s="258">
        <v>1150.0</v>
      </c>
      <c r="C547" s="260">
        <v>563.0</v>
      </c>
      <c r="D547" s="260">
        <f>IFERROR(__xludf.DUMMYFUNCTION("if(B547&lt;=999,if(B547&lt;=99,IF(B547&lt;=9,join(,""000"",B547),join(,""00"",B547)),join(,""0"",B547)),B547)"),1150.0)</f>
        <v>1150</v>
      </c>
      <c r="E547" s="263" t="str">
        <f>vlookup(B547,'Geotagging Master All-Training '!$A$2:$C$2474,2,false)</f>
        <v>#N/A</v>
      </c>
      <c r="F547" s="263" t="str">
        <f>vlookup(B547,'Geotagging Master All-Training '!$A$2:$C$2474,3,false)</f>
        <v>#N/A</v>
      </c>
      <c r="G547" s="265" t="s">
        <v>20</v>
      </c>
      <c r="H547" s="258"/>
    </row>
    <row r="548" hidden="1">
      <c r="A548" s="258">
        <v>1147.0</v>
      </c>
      <c r="B548" s="258">
        <v>1147.0</v>
      </c>
      <c r="C548" s="260">
        <v>564.0</v>
      </c>
      <c r="D548" s="260">
        <f>IFERROR(__xludf.DUMMYFUNCTION("if(B548&lt;=999,if(B548&lt;=99,IF(B548&lt;=9,join(,""000"",B548),join(,""00"",B548)),join(,""0"",B548)),B548)"),1147.0)</f>
        <v>1147</v>
      </c>
      <c r="E548" s="263" t="str">
        <f>vlookup(B548,'Geotagging Master All-Training '!$A$2:$C$2474,2,false)</f>
        <v>#N/A</v>
      </c>
      <c r="F548" s="263" t="str">
        <f>vlookup(B548,'Geotagging Master All-Training '!$A$2:$C$2474,3,false)</f>
        <v>#N/A</v>
      </c>
      <c r="G548" s="265" t="s">
        <v>20</v>
      </c>
      <c r="H548" s="258"/>
    </row>
    <row r="549" hidden="1">
      <c r="A549" s="258">
        <v>1243.0</v>
      </c>
      <c r="B549" s="258">
        <v>1243.0</v>
      </c>
      <c r="C549" s="260">
        <v>565.0</v>
      </c>
      <c r="D549" s="260">
        <f>IFERROR(__xludf.DUMMYFUNCTION("if(B549&lt;=999,if(B549&lt;=99,IF(B549&lt;=9,join(,""000"",B549),join(,""00"",B549)),join(,""0"",B549)),B549)"),1243.0)</f>
        <v>1243</v>
      </c>
      <c r="E549" s="263" t="str">
        <f>vlookup(B549,'Geotagging Master All-Training '!$A$2:$C$2474,2,false)</f>
        <v>#N/A</v>
      </c>
      <c r="F549" s="263" t="str">
        <f>vlookup(B549,'Geotagging Master All-Training '!$A$2:$C$2474,3,false)</f>
        <v>#N/A</v>
      </c>
      <c r="G549" s="265" t="s">
        <v>20</v>
      </c>
      <c r="H549" s="258"/>
    </row>
    <row r="550" hidden="1">
      <c r="A550" s="258">
        <v>268.0</v>
      </c>
      <c r="B550" s="259">
        <v>268.0</v>
      </c>
      <c r="C550" s="260">
        <v>566.0</v>
      </c>
      <c r="D550" s="260" t="str">
        <f>IFERROR(__xludf.DUMMYFUNCTION("if(B550&lt;=999,if(B550&lt;=99,IF(B550&lt;=9,join(,""000"",B550),join(,""00"",B550)),join(,""0"",B550)),B550)"),"0268")</f>
        <v>0268</v>
      </c>
      <c r="E550" s="263" t="str">
        <f>vlookup(B550,'Geotagging Master All-Training '!$A$2:$C$2474,2,false)</f>
        <v>#N/A</v>
      </c>
      <c r="F550" s="263" t="str">
        <f>vlookup(B550,'Geotagging Master All-Training '!$A$2:$C$2474,3,false)</f>
        <v>#N/A</v>
      </c>
      <c r="G550" s="265" t="s">
        <v>20</v>
      </c>
      <c r="H550" s="258"/>
    </row>
    <row r="551" hidden="1">
      <c r="A551" s="258">
        <v>282.0</v>
      </c>
      <c r="B551" s="258">
        <v>282.0</v>
      </c>
      <c r="C551" s="260">
        <v>567.0</v>
      </c>
      <c r="D551" s="260" t="str">
        <f>IFERROR(__xludf.DUMMYFUNCTION("if(B551&lt;=999,if(B551&lt;=99,IF(B551&lt;=9,join(,""000"",B551),join(,""00"",B551)),join(,""0"",B551)),B551)"),"0282")</f>
        <v>0282</v>
      </c>
      <c r="E551" s="263" t="str">
        <f>vlookup(B551,'Geotagging Master All-Training '!$A$2:$C$2474,2,false)</f>
        <v>#N/A</v>
      </c>
      <c r="F551" s="263" t="str">
        <f>vlookup(B551,'Geotagging Master All-Training '!$A$2:$C$2474,3,false)</f>
        <v>#N/A</v>
      </c>
      <c r="G551" s="265" t="s">
        <v>20</v>
      </c>
      <c r="H551" s="258"/>
    </row>
    <row r="552" hidden="1">
      <c r="A552" s="258">
        <v>678.0</v>
      </c>
      <c r="B552" s="258">
        <v>678.0</v>
      </c>
      <c r="C552" s="260">
        <v>568.0</v>
      </c>
      <c r="D552" s="260" t="str">
        <f>IFERROR(__xludf.DUMMYFUNCTION("if(B552&lt;=999,if(B552&lt;=99,IF(B552&lt;=9,join(,""000"",B552),join(,""00"",B552)),join(,""0"",B552)),B552)"),"0678")</f>
        <v>0678</v>
      </c>
      <c r="E552" s="263" t="str">
        <f>vlookup(B552,'Geotagging Master All-Training '!$A$2:$C$2474,2,false)</f>
        <v>#N/A</v>
      </c>
      <c r="F552" s="263" t="str">
        <f>vlookup(B552,'Geotagging Master All-Training '!$A$2:$C$2474,3,false)</f>
        <v>#N/A</v>
      </c>
      <c r="G552" s="265" t="s">
        <v>20</v>
      </c>
      <c r="H552" s="258"/>
    </row>
    <row r="553" hidden="1">
      <c r="A553" s="258">
        <v>30.0</v>
      </c>
      <c r="B553" s="258">
        <v>30.0</v>
      </c>
      <c r="C553" s="260">
        <v>569.0</v>
      </c>
      <c r="D553" s="260" t="str">
        <f>IFERROR(__xludf.DUMMYFUNCTION("if(B553&lt;=999,if(B553&lt;=99,IF(B553&lt;=9,join(,""000"",B553),join(,""00"",B553)),join(,""0"",B553)),B553)"),"0030")</f>
        <v>0030</v>
      </c>
      <c r="E553" s="263" t="str">
        <f>vlookup(B553,'Geotagging Master All-Training '!$A$2:$C$2474,2,false)</f>
        <v>#N/A</v>
      </c>
      <c r="F553" s="263" t="str">
        <f>vlookup(B553,'Geotagging Master All-Training '!$A$2:$C$2474,3,false)</f>
        <v>#N/A</v>
      </c>
      <c r="G553" s="265" t="s">
        <v>20</v>
      </c>
      <c r="H553" s="258"/>
    </row>
    <row r="554" hidden="1">
      <c r="A554" s="258">
        <v>343.0</v>
      </c>
      <c r="B554" s="258">
        <v>343.0</v>
      </c>
      <c r="C554" s="260">
        <v>570.0</v>
      </c>
      <c r="D554" s="260" t="str">
        <f>IFERROR(__xludf.DUMMYFUNCTION("if(B554&lt;=999,if(B554&lt;=99,IF(B554&lt;=9,join(,""000"",B554),join(,""00"",B554)),join(,""0"",B554)),B554)"),"0343")</f>
        <v>0343</v>
      </c>
      <c r="E554" s="263" t="str">
        <f>vlookup(B554,'Geotagging Master All-Training '!$A$2:$C$2474,2,false)</f>
        <v>#N/A</v>
      </c>
      <c r="F554" s="263" t="str">
        <f>vlookup(B554,'Geotagging Master All-Training '!$A$2:$C$2474,3,false)</f>
        <v>#N/A</v>
      </c>
      <c r="G554" s="265" t="s">
        <v>20</v>
      </c>
      <c r="H554" s="258"/>
    </row>
    <row r="555" hidden="1">
      <c r="A555" s="258">
        <v>1420.0</v>
      </c>
      <c r="B555" s="258">
        <v>1420.0</v>
      </c>
      <c r="C555" s="260">
        <v>571.0</v>
      </c>
      <c r="D555" s="260">
        <f>IFERROR(__xludf.DUMMYFUNCTION("if(B555&lt;=999,if(B555&lt;=99,IF(B555&lt;=9,join(,""000"",B555),join(,""00"",B555)),join(,""0"",B555)),B555)"),1420.0)</f>
        <v>1420</v>
      </c>
      <c r="E555" s="263" t="str">
        <f>vlookup(B555,'Geotagging Master All-Training '!$A$2:$C$2474,2,false)</f>
        <v>#N/A</v>
      </c>
      <c r="F555" s="263" t="str">
        <f>vlookup(B555,'Geotagging Master All-Training '!$A$2:$C$2474,3,false)</f>
        <v>#N/A</v>
      </c>
      <c r="G555" s="265" t="s">
        <v>20</v>
      </c>
      <c r="H555" s="258"/>
    </row>
    <row r="556" hidden="1">
      <c r="A556" s="258">
        <v>1408.0</v>
      </c>
      <c r="B556" s="259">
        <v>1408.0</v>
      </c>
      <c r="C556" s="260">
        <v>572.0</v>
      </c>
      <c r="D556" s="260">
        <f>IFERROR(__xludf.DUMMYFUNCTION("if(B556&lt;=999,if(B556&lt;=99,IF(B556&lt;=9,join(,""000"",B556),join(,""00"",B556)),join(,""0"",B556)),B556)"),1408.0)</f>
        <v>1408</v>
      </c>
      <c r="E556" s="263" t="str">
        <f>vlookup(B556,'Geotagging Master All-Training '!$A$2:$C$2474,2,false)</f>
        <v>#N/A</v>
      </c>
      <c r="F556" s="263" t="str">
        <f>vlookup(B556,'Geotagging Master All-Training '!$A$2:$C$2474,3,false)</f>
        <v>#N/A</v>
      </c>
      <c r="G556" s="265" t="s">
        <v>20</v>
      </c>
      <c r="H556" s="258"/>
    </row>
    <row r="557" hidden="1">
      <c r="A557" s="258">
        <v>1089.0</v>
      </c>
      <c r="B557" s="258">
        <v>1089.0</v>
      </c>
      <c r="C557" s="260">
        <v>574.0</v>
      </c>
      <c r="D557" s="260">
        <f>IFERROR(__xludf.DUMMYFUNCTION("if(B557&lt;=999,if(B557&lt;=99,IF(B557&lt;=9,join(,""000"",B557),join(,""00"",B557)),join(,""0"",B557)),B557)"),1089.0)</f>
        <v>1089</v>
      </c>
      <c r="E557" s="263" t="str">
        <f>vlookup(B557,'Geotagging Master All-Training '!$A$2:$C$2474,2,false)</f>
        <v>#N/A</v>
      </c>
      <c r="F557" s="263" t="str">
        <f>vlookup(B557,'Geotagging Master All-Training '!$A$2:$C$2474,3,false)</f>
        <v>#N/A</v>
      </c>
      <c r="G557" s="265" t="s">
        <v>20</v>
      </c>
      <c r="H557" s="258"/>
    </row>
    <row r="558" hidden="1">
      <c r="A558" s="258">
        <v>1119.0</v>
      </c>
      <c r="B558" s="258">
        <v>1119.0</v>
      </c>
      <c r="C558" s="260">
        <v>575.0</v>
      </c>
      <c r="D558" s="260">
        <f>IFERROR(__xludf.DUMMYFUNCTION("if(B558&lt;=999,if(B558&lt;=99,IF(B558&lt;=9,join(,""000"",B558),join(,""00"",B558)),join(,""0"",B558)),B558)"),1119.0)</f>
        <v>1119</v>
      </c>
      <c r="E558" s="263" t="str">
        <f>vlookup(B558,'Geotagging Master All-Training '!$A$2:$C$2474,2,false)</f>
        <v>#N/A</v>
      </c>
      <c r="F558" s="263" t="str">
        <f>vlookup(B558,'Geotagging Master All-Training '!$A$2:$C$2474,3,false)</f>
        <v>#N/A</v>
      </c>
      <c r="G558" s="265" t="s">
        <v>20</v>
      </c>
      <c r="H558" s="258"/>
    </row>
    <row r="559" hidden="1">
      <c r="A559" s="272">
        <v>1235.0</v>
      </c>
      <c r="B559" s="272">
        <v>1235.0</v>
      </c>
      <c r="C559" s="260">
        <v>576.0</v>
      </c>
      <c r="D559" s="273">
        <f>IFERROR(__xludf.DUMMYFUNCTION("if(B559&lt;=999,if(B559&lt;=99,IF(B559&lt;=9,join(,""000"",B559),join(,""00"",B559)),join(,""0"",B559)),B559)"),1235.0)</f>
        <v>1235</v>
      </c>
      <c r="E559" s="263" t="str">
        <f>vlookup(B559,'Geotagging Master All-Training '!$A$2:$C$2474,2,false)</f>
        <v>#N/A</v>
      </c>
      <c r="F559" s="263" t="str">
        <f>vlookup(B559,'Geotagging Master All-Training '!$A$2:$C$2474,3,false)</f>
        <v>#N/A</v>
      </c>
      <c r="G559" s="276" t="s">
        <v>20</v>
      </c>
      <c r="H559" s="272"/>
    </row>
    <row r="560" hidden="1">
      <c r="A560" s="258">
        <v>1272.0</v>
      </c>
      <c r="B560" s="258">
        <v>1272.0</v>
      </c>
      <c r="C560" s="260">
        <v>577.0</v>
      </c>
      <c r="D560" s="260">
        <f>IFERROR(__xludf.DUMMYFUNCTION("if(B560&lt;=999,if(B560&lt;=99,IF(B560&lt;=9,join(,""000"",B560),join(,""00"",B560)),join(,""0"",B560)),B560)"),1272.0)</f>
        <v>1272</v>
      </c>
      <c r="E560" s="263" t="str">
        <f>vlookup(B560,'Geotagging Master All-Training '!$A$2:$C$2474,2,false)</f>
        <v>#N/A</v>
      </c>
      <c r="F560" s="263" t="str">
        <f>vlookup(B560,'Geotagging Master All-Training '!$A$2:$C$2474,3,false)</f>
        <v>#N/A</v>
      </c>
      <c r="G560" s="265" t="s">
        <v>20</v>
      </c>
      <c r="H560" s="258"/>
    </row>
    <row r="561" hidden="1">
      <c r="A561" s="258">
        <v>1087.0</v>
      </c>
      <c r="B561" s="259">
        <v>1087.0</v>
      </c>
      <c r="C561" s="260">
        <v>578.0</v>
      </c>
      <c r="D561" s="260">
        <f>IFERROR(__xludf.DUMMYFUNCTION("if(B561&lt;=999,if(B561&lt;=99,IF(B561&lt;=9,join(,""000"",B561),join(,""00"",B561)),join(,""0"",B561)),B561)"),1087.0)</f>
        <v>1087</v>
      </c>
      <c r="E561" s="263" t="str">
        <f>vlookup(B561,'Geotagging Master All-Training '!$A$2:$C$2474,2,false)</f>
        <v>#N/A</v>
      </c>
      <c r="F561" s="263" t="str">
        <f>vlookup(B561,'Geotagging Master All-Training '!$A$2:$C$2474,3,false)</f>
        <v>#N/A</v>
      </c>
      <c r="G561" s="265" t="s">
        <v>20</v>
      </c>
      <c r="H561" s="258"/>
    </row>
    <row r="562" hidden="1">
      <c r="A562" s="258">
        <v>1043.0</v>
      </c>
      <c r="B562" s="259">
        <v>1043.0</v>
      </c>
      <c r="C562" s="260">
        <v>579.0</v>
      </c>
      <c r="D562" s="260">
        <f>IFERROR(__xludf.DUMMYFUNCTION("if(B562&lt;=999,if(B562&lt;=99,IF(B562&lt;=9,join(,""000"",B562),join(,""00"",B562)),join(,""0"",B562)),B562)"),1043.0)</f>
        <v>1043</v>
      </c>
      <c r="E562" s="263" t="str">
        <f>vlookup(B562,'Geotagging Master All-Training '!$A$2:$C$2474,2,false)</f>
        <v>#N/A</v>
      </c>
      <c r="F562" s="263" t="str">
        <f>vlookup(B562,'Geotagging Master All-Training '!$A$2:$C$2474,3,false)</f>
        <v>#N/A</v>
      </c>
      <c r="G562" s="265" t="s">
        <v>20</v>
      </c>
      <c r="H562" s="258"/>
    </row>
    <row r="563" hidden="1">
      <c r="A563" s="258">
        <v>369.0</v>
      </c>
      <c r="B563" s="259">
        <v>369.0</v>
      </c>
      <c r="C563" s="260">
        <v>580.0</v>
      </c>
      <c r="D563" s="260" t="str">
        <f>IFERROR(__xludf.DUMMYFUNCTION("if(B563&lt;=999,if(B563&lt;=99,IF(B563&lt;=9,join(,""000"",B563),join(,""00"",B563)),join(,""0"",B563)),B563)"),"0369")</f>
        <v>0369</v>
      </c>
      <c r="E563" s="263" t="str">
        <f>vlookup(B563,'Geotagging Master All-Training '!$A$2:$C$2474,2,false)</f>
        <v>#N/A</v>
      </c>
      <c r="F563" s="263" t="str">
        <f>vlookup(B563,'Geotagging Master All-Training '!$A$2:$C$2474,3,false)</f>
        <v>#N/A</v>
      </c>
      <c r="G563" s="265" t="s">
        <v>20</v>
      </c>
      <c r="H563" s="258"/>
    </row>
    <row r="564" hidden="1">
      <c r="A564" s="258">
        <v>410.0</v>
      </c>
      <c r="B564" s="259">
        <v>410.0</v>
      </c>
      <c r="C564" s="260">
        <v>581.0</v>
      </c>
      <c r="D564" s="260" t="str">
        <f>IFERROR(__xludf.DUMMYFUNCTION("if(B564&lt;=999,if(B564&lt;=99,IF(B564&lt;=9,join(,""000"",B564),join(,""00"",B564)),join(,""0"",B564)),B564)"),"0410")</f>
        <v>0410</v>
      </c>
      <c r="E564" s="263" t="str">
        <f>vlookup(B564,'Geotagging Master All-Training '!$A$2:$C$2474,2,false)</f>
        <v>#N/A</v>
      </c>
      <c r="F564" s="263" t="str">
        <f>vlookup(B564,'Geotagging Master All-Training '!$A$2:$C$2474,3,false)</f>
        <v>#N/A</v>
      </c>
      <c r="G564" s="265" t="s">
        <v>20</v>
      </c>
      <c r="H564" s="258"/>
    </row>
    <row r="565" hidden="1">
      <c r="A565" s="258">
        <v>754.0</v>
      </c>
      <c r="B565" s="259">
        <v>754.0</v>
      </c>
      <c r="C565" s="260">
        <v>582.0</v>
      </c>
      <c r="D565" s="260" t="str">
        <f>IFERROR(__xludf.DUMMYFUNCTION("if(B565&lt;=999,if(B565&lt;=99,IF(B565&lt;=9,join(,""000"",B565),join(,""00"",B565)),join(,""0"",B565)),B565)"),"0754")</f>
        <v>0754</v>
      </c>
      <c r="E565" s="263" t="str">
        <f>vlookup(B565,'Geotagging Master All-Training '!$A$2:$C$2474,2,false)</f>
        <v>#N/A</v>
      </c>
      <c r="F565" s="263" t="str">
        <f>vlookup(B565,'Geotagging Master All-Training '!$A$2:$C$2474,3,false)</f>
        <v>#N/A</v>
      </c>
      <c r="G565" s="265" t="s">
        <v>20</v>
      </c>
      <c r="H565" s="258"/>
    </row>
    <row r="566" hidden="1">
      <c r="A566" s="258">
        <v>913.0</v>
      </c>
      <c r="B566" s="258">
        <v>913.0</v>
      </c>
      <c r="C566" s="260">
        <v>583.0</v>
      </c>
      <c r="D566" s="260" t="str">
        <f>IFERROR(__xludf.DUMMYFUNCTION("if(B566&lt;=999,if(B566&lt;=99,IF(B566&lt;=9,join(,""000"",B566),join(,""00"",B566)),join(,""0"",B566)),B566)"),"0913")</f>
        <v>0913</v>
      </c>
      <c r="E566" s="263" t="str">
        <f>vlookup(B566,'Geotagging Master All-Training '!$A$2:$C$2474,2,false)</f>
        <v>#N/A</v>
      </c>
      <c r="F566" s="263" t="str">
        <f>vlookup(B566,'Geotagging Master All-Training '!$A$2:$C$2474,3,false)</f>
        <v>#N/A</v>
      </c>
      <c r="G566" s="265" t="s">
        <v>20</v>
      </c>
      <c r="H566" s="258"/>
    </row>
    <row r="567" hidden="1">
      <c r="A567" s="258">
        <v>670.0</v>
      </c>
      <c r="B567" s="258">
        <v>670.0</v>
      </c>
      <c r="C567" s="260">
        <v>584.0</v>
      </c>
      <c r="D567" s="260" t="str">
        <f>IFERROR(__xludf.DUMMYFUNCTION("if(B567&lt;=999,if(B567&lt;=99,IF(B567&lt;=9,join(,""000"",B567),join(,""00"",B567)),join(,""0"",B567)),B567)"),"0670")</f>
        <v>0670</v>
      </c>
      <c r="E567" s="263" t="str">
        <f>vlookup(B567,'Geotagging Master All-Training '!$A$2:$C$2474,2,false)</f>
        <v>#N/A</v>
      </c>
      <c r="F567" s="263" t="str">
        <f>vlookup(B567,'Geotagging Master All-Training '!$A$2:$C$2474,3,false)</f>
        <v>#N/A</v>
      </c>
      <c r="G567" s="265" t="s">
        <v>20</v>
      </c>
      <c r="H567" s="258"/>
    </row>
    <row r="568" hidden="1">
      <c r="A568" s="258">
        <v>1287.0</v>
      </c>
      <c r="B568" s="258">
        <v>1287.0</v>
      </c>
      <c r="C568" s="260">
        <v>586.0</v>
      </c>
      <c r="D568" s="260">
        <f>IFERROR(__xludf.DUMMYFUNCTION("if(B568&lt;=999,if(B568&lt;=99,IF(B568&lt;=9,join(,""000"",B568),join(,""00"",B568)),join(,""0"",B568)),B568)"),1287.0)</f>
        <v>1287</v>
      </c>
      <c r="E568" s="263" t="str">
        <f>vlookup(B568,'Geotagging Master All-Training '!$A$2:$C$2474,2,false)</f>
        <v>#N/A</v>
      </c>
      <c r="F568" s="263" t="str">
        <f>vlookup(B568,'Geotagging Master All-Training '!$A$2:$C$2474,3,false)</f>
        <v>#N/A</v>
      </c>
      <c r="G568" s="265" t="s">
        <v>20</v>
      </c>
      <c r="H568" s="258"/>
    </row>
    <row r="569" hidden="1">
      <c r="A569" s="258">
        <v>811.0</v>
      </c>
      <c r="B569" s="259">
        <v>811.0</v>
      </c>
      <c r="C569" s="260">
        <v>587.0</v>
      </c>
      <c r="D569" s="260" t="str">
        <f>IFERROR(__xludf.DUMMYFUNCTION("if(B569&lt;=999,if(B569&lt;=99,IF(B569&lt;=9,join(,""000"",B569),join(,""00"",B569)),join(,""0"",B569)),B569)"),"0811")</f>
        <v>0811</v>
      </c>
      <c r="E569" s="263" t="str">
        <f>vlookup(B569,'Geotagging Master All-Training '!$A$2:$C$2474,2,false)</f>
        <v>#N/A</v>
      </c>
      <c r="F569" s="263" t="str">
        <f>vlookup(B569,'Geotagging Master All-Training '!$A$2:$C$2474,3,false)</f>
        <v>#N/A</v>
      </c>
      <c r="G569" s="265" t="s">
        <v>20</v>
      </c>
      <c r="H569" s="258"/>
    </row>
    <row r="570" hidden="1">
      <c r="A570" s="272">
        <v>1046.0</v>
      </c>
      <c r="B570" s="272">
        <v>1046.0</v>
      </c>
      <c r="C570" s="273">
        <v>589.0</v>
      </c>
      <c r="D570" s="273">
        <f>IFERROR(__xludf.DUMMYFUNCTION("if(B570&lt;=999,if(B570&lt;=99,IF(B570&lt;=9,join(,""000"",B570),join(,""00"",B570)),join(,""0"",B570)),B570)"),1046.0)</f>
        <v>1046</v>
      </c>
      <c r="E570" s="303" t="str">
        <f>vlookup(B570,'Geotagging Master All-Training '!$A$2:$C$2474,2,false)</f>
        <v>#N/A</v>
      </c>
      <c r="F570" s="303" t="str">
        <f>vlookup(B570,'Geotagging Master All-Training '!$A$2:$C$2474,3,false)</f>
        <v>#N/A</v>
      </c>
      <c r="G570" s="276" t="s">
        <v>20</v>
      </c>
      <c r="H570" s="272"/>
    </row>
    <row r="571" hidden="1">
      <c r="A571" s="272">
        <v>687.0</v>
      </c>
      <c r="B571" s="272">
        <v>687.0</v>
      </c>
      <c r="C571" s="273">
        <v>111.0</v>
      </c>
      <c r="D571" s="273" t="str">
        <f>IFERROR(__xludf.DUMMYFUNCTION("if(B571&lt;=999,if(B571&lt;=99,IF(B571&lt;=9,join(,""000"",B571),join(,""00"",B571)),join(,""0"",B571)),B571)"),"0687")</f>
        <v>0687</v>
      </c>
      <c r="E571" s="303" t="str">
        <f>vlookup(B571,'Geotagging Master All-Training '!$A$2:$C$2474,2,false)</f>
        <v>#N/A</v>
      </c>
      <c r="F571" s="303" t="str">
        <f>vlookup(B571,'Geotagging Master All-Training '!$A$2:$C$2474,3,false)</f>
        <v>#N/A</v>
      </c>
      <c r="G571" s="276" t="s">
        <v>20</v>
      </c>
      <c r="H571" s="272"/>
    </row>
    <row r="572" hidden="1">
      <c r="A572" s="258">
        <v>220.0</v>
      </c>
      <c r="B572" s="258">
        <v>220.0</v>
      </c>
      <c r="C572" s="260">
        <v>590.0</v>
      </c>
      <c r="D572" s="260" t="str">
        <f>IFERROR(__xludf.DUMMYFUNCTION("if(B572&lt;=999,if(B572&lt;=99,IF(B572&lt;=9,join(,""000"",B572),join(,""00"",B572)),join(,""0"",B572)),B572)"),"0220")</f>
        <v>0220</v>
      </c>
      <c r="E572" s="263" t="str">
        <f>vlookup(B572,'Geotagging Master All-Training '!$A$2:$C$2474,2,false)</f>
        <v>#N/A</v>
      </c>
      <c r="F572" s="263" t="str">
        <f>vlookup(B572,'Geotagging Master All-Training '!$A$2:$C$2474,3,false)</f>
        <v>#N/A</v>
      </c>
      <c r="G572" s="265" t="s">
        <v>20</v>
      </c>
      <c r="H572" s="258"/>
    </row>
    <row r="573" hidden="1">
      <c r="A573" s="258">
        <v>37.0</v>
      </c>
      <c r="B573" s="258">
        <v>37.0</v>
      </c>
      <c r="C573" s="260">
        <v>591.0</v>
      </c>
      <c r="D573" s="260" t="str">
        <f>IFERROR(__xludf.DUMMYFUNCTION("if(B573&lt;=999,if(B573&lt;=99,IF(B573&lt;=9,join(,""000"",B573),join(,""00"",B573)),join(,""0"",B573)),B573)"),"0037")</f>
        <v>0037</v>
      </c>
      <c r="E573" s="263" t="str">
        <f>vlookup(B573,'Geotagging Master All-Training '!$A$2:$C$2474,2,false)</f>
        <v>#N/A</v>
      </c>
      <c r="F573" s="263" t="str">
        <f>vlookup(B573,'Geotagging Master All-Training '!$A$2:$C$2474,3,false)</f>
        <v>#N/A</v>
      </c>
      <c r="G573" s="265" t="s">
        <v>20</v>
      </c>
      <c r="H573" s="258"/>
    </row>
    <row r="574" hidden="1">
      <c r="A574" s="258">
        <v>723.0</v>
      </c>
      <c r="B574" s="258">
        <v>723.0</v>
      </c>
      <c r="C574" s="260">
        <v>592.0</v>
      </c>
      <c r="D574" s="260" t="str">
        <f>IFERROR(__xludf.DUMMYFUNCTION("if(B574&lt;=999,if(B574&lt;=99,IF(B574&lt;=9,join(,""000"",B574),join(,""00"",B574)),join(,""0"",B574)),B574)"),"0723")</f>
        <v>0723</v>
      </c>
      <c r="E574" s="263" t="str">
        <f>vlookup(B574,'Geotagging Master All-Training '!$A$2:$C$2474,2,false)</f>
        <v>#N/A</v>
      </c>
      <c r="F574" s="263" t="str">
        <f>vlookup(B574,'Geotagging Master All-Training '!$A$2:$C$2474,3,false)</f>
        <v>#N/A</v>
      </c>
      <c r="G574" s="265" t="s">
        <v>20</v>
      </c>
      <c r="H574" s="258"/>
    </row>
    <row r="575" hidden="1">
      <c r="A575" s="258">
        <v>1064.0</v>
      </c>
      <c r="B575" s="258">
        <v>1064.0</v>
      </c>
      <c r="C575" s="330">
        <v>593.0</v>
      </c>
      <c r="D575" s="330">
        <v>1064.0</v>
      </c>
      <c r="E575" s="263" t="str">
        <f>vlookup(B575,'Geotagging Master All-Training '!$A$2:$C$2474,2,false)</f>
        <v>#N/A</v>
      </c>
      <c r="F575" s="263" t="str">
        <f>vlookup(B575,'Geotagging Master All-Training '!$A$2:$C$2474,3,false)</f>
        <v>#N/A</v>
      </c>
      <c r="G575" s="332" t="s">
        <v>20</v>
      </c>
      <c r="H575" s="332"/>
    </row>
  </sheetData>
  <autoFilter ref="$A$5:$G$575">
    <filterColumn colId="5">
      <filters blank="1">
        <filter val="#N/A"/>
      </filters>
    </filterColumn>
    <filterColumn colId="6">
      <filters blank="1">
        <filter val="No"/>
      </filters>
    </filterColumn>
    <sortState ref="A5:G575">
      <sortCondition ref="G5:G575"/>
    </sortState>
  </autoFilter>
  <customSheetViews>
    <customSheetView guid="{461316B6-17F5-406C-AD29-9E9E363CFA06}" filter="1" showAutoFilter="1">
      <autoFilter ref="$A$5:$G$575"/>
    </customSheetView>
    <customSheetView guid="{26145B14-D411-4703-A550-BC4D66DDB855}" filter="1" showAutoFilter="1">
      <autoFilter ref="$A$5:$G$575"/>
    </customSheetView>
    <customSheetView guid="{D0F387BE-95CD-4215-B4D7-7CB6B328D750}" filter="1" showAutoFilter="1">
      <autoFilter ref="$A$5:$G$575"/>
    </customSheetView>
    <customSheetView guid="{4CDEB16D-957F-46E0-B073-82BA58078811}" filter="1" showAutoFilter="1">
      <autoFilter ref="$A$5:$G$575"/>
    </customSheetView>
    <customSheetView guid="{89D674A9-5E02-46F3-8EAE-C90AAEBD18CB}" filter="1" showAutoFilter="1">
      <autoFilter ref="$A$5:$G$575">
        <filterColumn colId="6">
          <filters blank="1">
            <filter val="No"/>
          </filters>
        </filterColumn>
      </autoFilter>
    </customSheetView>
    <customSheetView guid="{3244BD90-1F1B-49B1-9805-E2AEEAC5DF7E}" filter="1" showAutoFilter="1">
      <autoFilter ref="$A$5:$G$575"/>
    </customSheetView>
    <customSheetView guid="{4B942B8B-C855-402E-B1CA-C99DA2CDE73C}" filter="1" showAutoFilter="1">
      <autoFilter ref="$A$5:$G$575"/>
    </customSheetView>
    <customSheetView guid="{3D2377A7-7B9A-4DD0-8064-B35170BE2591}" filter="1" showAutoFilter="1">
      <autoFilter ref="$A$5:$G$575"/>
    </customSheetView>
    <customSheetView guid="{F79953EE-21CA-4328-B7CE-2E5232C4758F}" filter="1" showAutoFilter="1">
      <autoFilter ref="$A$5:$G$575"/>
    </customSheetView>
    <customSheetView guid="{83CFE988-7961-4294-A58B-6D43D804AA72}" filter="1" showAutoFilter="1">
      <autoFilter ref="$A$5:$G$575"/>
    </customSheetView>
    <customSheetView guid="{1C94B833-20B3-4B74-ACE6-0864EB8F8213}" filter="1" showAutoFilter="1">
      <autoFilter ref="$A$5:$G$575"/>
    </customSheetView>
    <customSheetView guid="{B995BA34-E10D-40AF-AA8C-B5692B2826B5}" filter="1" showAutoFilter="1">
      <autoFilter ref="$A$5:$G$575">
        <filterColumn colId="6">
          <filters>
            <filter val="Yes"/>
          </filters>
        </filterColumn>
      </autoFilter>
    </customSheetView>
    <customSheetView guid="{8D321D32-C538-4F99-A133-732AA9E194E7}" filter="1" showAutoFilter="1">
      <autoFilter ref="$A$5:$G$575"/>
    </customSheetView>
    <customSheetView guid="{E011813A-1907-4E19-A9F9-B58EB77877E4}" filter="1" showAutoFilter="1">
      <autoFilter ref="$A$5:$G$575"/>
    </customSheetView>
    <customSheetView guid="{03BA606A-9EF1-488F-B5B6-5F234A109122}" filter="1" showAutoFilter="1">
      <autoFilter ref="$A$5:$G$575"/>
    </customSheetView>
    <customSheetView guid="{8C74C9FC-D395-430E-9425-07E8EBD06DD9}" filter="1" showAutoFilter="1">
      <autoFilter ref="$A$5:$G$575"/>
    </customSheetView>
    <customSheetView guid="{B340BCCB-2239-4F53-A7F5-8859E4CC659F}" filter="1" showAutoFilter="1">
      <autoFilter ref="$A$5:$G$575"/>
    </customSheetView>
    <customSheetView guid="{41EC89E4-EEB1-42F9-9D42-62D67780E2D1}" filter="1" showAutoFilter="1">
      <autoFilter ref="$A$5:$G$575">
        <filterColumn colId="6">
          <filters blank="1">
            <filter val="No"/>
          </filters>
        </filterColumn>
      </autoFilter>
    </customSheetView>
    <customSheetView guid="{29638FDE-F393-4482-95FA-94A7C29B2F6D}" filter="1" showAutoFilter="1">
      <autoFilter ref="$A$5:$G$575">
        <filterColumn colId="6">
          <filters blank="1">
            <filter val="No"/>
          </filters>
        </filterColumn>
      </autoFilter>
    </customSheetView>
    <customSheetView guid="{55429418-C5E5-48EC-BE8C-D5FCDB9B5FF0}" filter="1" showAutoFilter="1">
      <autoFilter ref="$A$5:$G$575"/>
    </customSheetView>
    <customSheetView guid="{BE7EE906-3AC6-489B-8307-8DCF78AC4CC4}" filter="1" showAutoFilter="1">
      <autoFilter ref="$A$5:$G$575">
        <filterColumn colId="6">
          <filters blank="1">
            <filter val="No"/>
          </filters>
        </filterColumn>
      </autoFilter>
    </customSheetView>
    <customSheetView guid="{B8F91280-5839-4824-9837-B33C2803B9C9}" filter="1" showAutoFilter="1">
      <autoFilter ref="$A$5:$G$575"/>
    </customSheetView>
    <customSheetView guid="{59693195-0373-46FB-A9CA-38C62EF18CBE}" filter="1" showAutoFilter="1">
      <autoFilter ref="$A$5:$G$575"/>
    </customSheetView>
  </customSheetViews>
  <dataValidations>
    <dataValidation type="list" allowBlank="1" sqref="G6:H24 G25 G26:H35 G36 G37:H50 G51 G52:H66 G67 G68:H76 G77 G78:H82 G83 G84:H88 G89 G90:H114 G115 G116:H126 G127 G128:H140 G141 G142:H163 G164 G165:H170 G171 G172:H177 G178 G179:H184 G185 G186:H575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13.63"/>
    <col customWidth="1" min="3" max="3" width="18.63"/>
    <col customWidth="1" min="7" max="7" width="16.5"/>
    <col customWidth="1" min="10" max="10" width="22.0"/>
  </cols>
  <sheetData>
    <row r="1">
      <c r="A1" s="26" t="s">
        <v>6</v>
      </c>
      <c r="B1" s="26" t="s">
        <v>6</v>
      </c>
      <c r="C1" s="534" t="s">
        <v>1889</v>
      </c>
      <c r="D1" s="30" t="s">
        <v>11</v>
      </c>
      <c r="E1" s="30" t="s">
        <v>12</v>
      </c>
      <c r="F1" s="31" t="s">
        <v>13</v>
      </c>
      <c r="G1" s="31" t="s">
        <v>14</v>
      </c>
      <c r="H1" s="31" t="s">
        <v>16</v>
      </c>
      <c r="I1" s="31" t="s">
        <v>17</v>
      </c>
      <c r="J1" s="32" t="s">
        <v>18</v>
      </c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>
      <c r="D2" s="535"/>
      <c r="E2" s="535"/>
    </row>
    <row r="3">
      <c r="C3" s="536"/>
      <c r="D3" s="535"/>
    </row>
    <row r="4">
      <c r="D4" s="535"/>
    </row>
    <row r="5">
      <c r="D5" s="535"/>
    </row>
    <row r="6">
      <c r="D6" s="535"/>
    </row>
    <row r="7">
      <c r="D7" s="537"/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13"/>
    <col customWidth="1" min="2" max="2" width="20.0"/>
    <col customWidth="1" min="3" max="3" width="11.0"/>
    <col customWidth="1" min="4" max="4" width="46.38"/>
    <col customWidth="1" min="5" max="5" width="46.88"/>
    <col customWidth="1" min="6" max="7" width="22.63"/>
    <col customWidth="1" min="8" max="8" width="46.25"/>
    <col customWidth="1" min="9" max="9" width="12.75"/>
    <col customWidth="1" min="10" max="10" width="10.75"/>
    <col customWidth="1" min="11" max="11" width="27.5"/>
    <col customWidth="1" min="12" max="12" width="22.38"/>
    <col customWidth="1" min="13" max="13" width="33.75"/>
    <col customWidth="1" min="14" max="14" width="24.88"/>
    <col customWidth="1" min="15" max="15" width="54.63"/>
    <col customWidth="1" min="16" max="16" width="11.5"/>
    <col customWidth="1" min="17" max="19" width="27.88"/>
  </cols>
  <sheetData>
    <row r="1" ht="14.25" customHeight="1">
      <c r="A1" s="538" t="s">
        <v>6</v>
      </c>
      <c r="B1" s="539" t="s">
        <v>1309</v>
      </c>
      <c r="C1" s="539" t="s">
        <v>1327</v>
      </c>
      <c r="D1" s="539" t="s">
        <v>1890</v>
      </c>
      <c r="E1" s="539" t="s">
        <v>1889</v>
      </c>
      <c r="F1" s="539" t="s">
        <v>1891</v>
      </c>
      <c r="G1" s="540" t="s">
        <v>1892</v>
      </c>
      <c r="H1" s="539" t="s">
        <v>1329</v>
      </c>
      <c r="I1" s="539" t="s">
        <v>1893</v>
      </c>
      <c r="J1" s="539" t="s">
        <v>1894</v>
      </c>
      <c r="K1" s="539" t="s">
        <v>1895</v>
      </c>
      <c r="L1" s="539" t="s">
        <v>1896</v>
      </c>
      <c r="M1" s="539" t="s">
        <v>1897</v>
      </c>
      <c r="N1" s="539" t="s">
        <v>1898</v>
      </c>
      <c r="O1" s="539" t="s">
        <v>1899</v>
      </c>
      <c r="P1" s="540" t="s">
        <v>1900</v>
      </c>
      <c r="Q1" s="540" t="s">
        <v>1901</v>
      </c>
      <c r="R1" s="540" t="s">
        <v>1902</v>
      </c>
      <c r="S1" s="541"/>
    </row>
    <row r="2" ht="14.25" customHeight="1">
      <c r="A2" s="542"/>
      <c r="B2" s="543"/>
      <c r="C2" s="543"/>
      <c r="D2" s="544"/>
      <c r="E2" s="544"/>
      <c r="F2" s="544"/>
      <c r="G2" s="544"/>
      <c r="H2" s="544"/>
      <c r="I2" s="543"/>
      <c r="J2" s="543"/>
      <c r="K2" s="544"/>
      <c r="L2" s="543"/>
      <c r="M2" s="544"/>
      <c r="N2" s="543"/>
      <c r="O2" s="544"/>
      <c r="P2" s="544"/>
      <c r="Q2" s="544"/>
      <c r="R2" s="544"/>
      <c r="S2" s="544"/>
    </row>
    <row r="3" ht="14.25" customHeight="1">
      <c r="A3" s="542"/>
      <c r="B3" s="543"/>
      <c r="C3" s="543"/>
      <c r="D3" s="544"/>
      <c r="E3" s="544"/>
      <c r="F3" s="544"/>
      <c r="G3" s="544"/>
      <c r="H3" s="544"/>
      <c r="I3" s="543"/>
      <c r="J3" s="543"/>
      <c r="K3" s="544"/>
      <c r="L3" s="543"/>
      <c r="M3" s="544"/>
      <c r="N3" s="543"/>
      <c r="O3" s="544"/>
      <c r="P3" s="544"/>
      <c r="Q3" s="544"/>
      <c r="R3" s="544"/>
      <c r="S3" s="544"/>
    </row>
    <row r="4" ht="14.25" customHeight="1">
      <c r="A4" s="542"/>
      <c r="B4" s="543"/>
      <c r="C4" s="543"/>
      <c r="D4" s="544"/>
      <c r="E4" s="544"/>
      <c r="F4" s="544"/>
      <c r="G4" s="544"/>
      <c r="H4" s="544"/>
      <c r="I4" s="543"/>
      <c r="J4" s="543"/>
      <c r="K4" s="544"/>
      <c r="L4" s="543"/>
      <c r="M4" s="544"/>
      <c r="N4" s="543"/>
      <c r="O4" s="544"/>
      <c r="P4" s="544"/>
      <c r="Q4" s="544"/>
      <c r="R4" s="544"/>
      <c r="S4" s="544"/>
    </row>
    <row r="5" ht="14.25" customHeight="1">
      <c r="A5" s="542"/>
      <c r="B5" s="543"/>
      <c r="C5" s="543"/>
      <c r="D5" s="544"/>
      <c r="E5" s="544"/>
      <c r="F5" s="544"/>
      <c r="G5" s="544"/>
      <c r="H5" s="544"/>
      <c r="I5" s="543"/>
      <c r="J5" s="543"/>
      <c r="K5" s="544"/>
      <c r="L5" s="543"/>
      <c r="M5" s="544"/>
      <c r="N5" s="543"/>
      <c r="O5" s="544"/>
      <c r="P5" s="544"/>
      <c r="Q5" s="544"/>
      <c r="R5" s="544"/>
      <c r="S5" s="544"/>
    </row>
    <row r="6" ht="14.25" customHeight="1">
      <c r="A6" s="542"/>
      <c r="B6" s="543"/>
      <c r="C6" s="543"/>
      <c r="D6" s="544"/>
      <c r="E6" s="544"/>
      <c r="F6" s="544"/>
      <c r="G6" s="544"/>
      <c r="H6" s="544"/>
      <c r="I6" s="543"/>
      <c r="J6" s="543"/>
      <c r="K6" s="544"/>
      <c r="L6" s="543"/>
      <c r="M6" s="544"/>
      <c r="N6" s="543"/>
      <c r="O6" s="544"/>
      <c r="P6" s="544"/>
      <c r="Q6" s="544"/>
      <c r="R6" s="544"/>
      <c r="S6" s="544"/>
    </row>
    <row r="7" ht="14.25" customHeight="1">
      <c r="A7" s="542"/>
      <c r="B7" s="543"/>
      <c r="C7" s="543"/>
      <c r="D7" s="544"/>
      <c r="E7" s="544"/>
      <c r="F7" s="544"/>
      <c r="G7" s="544"/>
      <c r="H7" s="544"/>
      <c r="I7" s="543"/>
      <c r="J7" s="543"/>
      <c r="K7" s="544"/>
      <c r="L7" s="543"/>
      <c r="M7" s="544"/>
      <c r="N7" s="543"/>
      <c r="O7" s="544"/>
      <c r="P7" s="544"/>
      <c r="Q7" s="544"/>
      <c r="R7" s="544"/>
      <c r="S7" s="544"/>
    </row>
    <row r="8" ht="14.25" customHeight="1">
      <c r="A8" s="542"/>
      <c r="B8" s="543"/>
      <c r="C8" s="543"/>
      <c r="D8" s="544"/>
      <c r="E8" s="544"/>
      <c r="F8" s="544"/>
      <c r="G8" s="544"/>
      <c r="H8" s="544"/>
      <c r="I8" s="543"/>
      <c r="J8" s="543"/>
      <c r="K8" s="544"/>
      <c r="L8" s="543"/>
      <c r="M8" s="544"/>
      <c r="N8" s="543"/>
      <c r="O8" s="544"/>
      <c r="P8" s="544"/>
      <c r="Q8" s="544"/>
      <c r="R8" s="544"/>
      <c r="S8" s="544"/>
    </row>
    <row r="9" ht="14.25" customHeight="1">
      <c r="A9" s="542"/>
      <c r="B9" s="543"/>
      <c r="C9" s="543"/>
      <c r="D9" s="544"/>
      <c r="E9" s="544"/>
      <c r="F9" s="544"/>
      <c r="G9" s="544"/>
      <c r="H9" s="544"/>
      <c r="I9" s="543"/>
      <c r="J9" s="543"/>
      <c r="K9" s="544"/>
      <c r="L9" s="543"/>
      <c r="M9" s="544"/>
      <c r="N9" s="543"/>
      <c r="O9" s="544"/>
      <c r="P9" s="544"/>
      <c r="Q9" s="544"/>
      <c r="R9" s="544"/>
      <c r="S9" s="544"/>
    </row>
    <row r="10" ht="14.25" customHeight="1">
      <c r="A10" s="542"/>
      <c r="B10" s="543"/>
      <c r="C10" s="543"/>
      <c r="D10" s="544"/>
      <c r="E10" s="544"/>
      <c r="F10" s="544"/>
      <c r="G10" s="544"/>
      <c r="H10" s="544"/>
      <c r="I10" s="543"/>
      <c r="J10" s="543"/>
      <c r="K10" s="544"/>
      <c r="L10" s="543"/>
      <c r="M10" s="544"/>
      <c r="N10" s="543"/>
      <c r="O10" s="544"/>
      <c r="P10" s="544"/>
      <c r="Q10" s="544"/>
      <c r="R10" s="544"/>
      <c r="S10" s="544"/>
    </row>
    <row r="11" ht="14.25" customHeight="1">
      <c r="A11" s="542"/>
      <c r="B11" s="543"/>
      <c r="C11" s="543"/>
      <c r="D11" s="544"/>
      <c r="E11" s="544"/>
      <c r="F11" s="544"/>
      <c r="G11" s="544"/>
      <c r="H11" s="544"/>
      <c r="I11" s="543"/>
      <c r="J11" s="543"/>
      <c r="K11" s="544"/>
      <c r="L11" s="543"/>
      <c r="M11" s="544"/>
      <c r="N11" s="543"/>
      <c r="O11" s="544"/>
      <c r="P11" s="544"/>
      <c r="Q11" s="544"/>
      <c r="R11" s="544"/>
      <c r="S11" s="544"/>
    </row>
    <row r="12" ht="14.25" customHeight="1">
      <c r="A12" s="542"/>
      <c r="B12" s="543"/>
      <c r="C12" s="543"/>
      <c r="D12" s="544"/>
      <c r="E12" s="544"/>
      <c r="F12" s="544"/>
      <c r="G12" s="544"/>
      <c r="H12" s="544"/>
      <c r="I12" s="543"/>
      <c r="J12" s="543"/>
      <c r="K12" s="544"/>
      <c r="L12" s="543"/>
      <c r="M12" s="544"/>
      <c r="N12" s="543"/>
      <c r="O12" s="544"/>
      <c r="P12" s="544"/>
      <c r="Q12" s="544"/>
      <c r="R12" s="544"/>
      <c r="S12" s="544"/>
    </row>
    <row r="13" ht="14.25" customHeight="1">
      <c r="A13" s="542"/>
      <c r="B13" s="543"/>
      <c r="C13" s="543"/>
      <c r="D13" s="544"/>
      <c r="E13" s="544"/>
      <c r="F13" s="544"/>
      <c r="G13" s="544"/>
      <c r="H13" s="544"/>
      <c r="I13" s="543"/>
      <c r="J13" s="543"/>
      <c r="K13" s="544"/>
      <c r="L13" s="543"/>
      <c r="M13" s="544"/>
      <c r="N13" s="543"/>
      <c r="O13" s="544"/>
      <c r="P13" s="544"/>
      <c r="Q13" s="544"/>
      <c r="R13" s="544"/>
      <c r="S13" s="544"/>
    </row>
    <row r="14" ht="14.25" customHeight="1">
      <c r="A14" s="542"/>
      <c r="B14" s="543"/>
      <c r="C14" s="543"/>
      <c r="D14" s="544"/>
      <c r="E14" s="544"/>
      <c r="F14" s="544"/>
      <c r="G14" s="544"/>
      <c r="H14" s="544"/>
      <c r="I14" s="543"/>
      <c r="J14" s="543"/>
      <c r="K14" s="544"/>
      <c r="L14" s="543"/>
      <c r="M14" s="544"/>
      <c r="N14" s="543"/>
      <c r="O14" s="544"/>
      <c r="P14" s="544"/>
      <c r="Q14" s="544"/>
      <c r="R14" s="544"/>
      <c r="S14" s="544"/>
    </row>
    <row r="15" ht="14.25" customHeight="1">
      <c r="A15" s="542"/>
      <c r="B15" s="543"/>
      <c r="C15" s="543"/>
      <c r="D15" s="544"/>
      <c r="E15" s="544"/>
      <c r="F15" s="544"/>
      <c r="G15" s="544"/>
      <c r="H15" s="544"/>
      <c r="I15" s="543"/>
      <c r="J15" s="543"/>
      <c r="K15" s="544"/>
      <c r="L15" s="543"/>
      <c r="M15" s="544"/>
      <c r="N15" s="543"/>
      <c r="O15" s="544"/>
      <c r="P15" s="544"/>
      <c r="Q15" s="544"/>
      <c r="R15" s="544"/>
      <c r="S15" s="544"/>
    </row>
    <row r="16" ht="14.25" customHeight="1">
      <c r="A16" s="542"/>
      <c r="B16" s="543"/>
      <c r="C16" s="543"/>
      <c r="D16" s="544"/>
      <c r="E16" s="544"/>
      <c r="F16" s="544"/>
      <c r="G16" s="544"/>
      <c r="H16" s="544"/>
      <c r="I16" s="543"/>
      <c r="J16" s="543"/>
      <c r="K16" s="544"/>
      <c r="L16" s="543"/>
      <c r="M16" s="544"/>
      <c r="N16" s="543"/>
      <c r="O16" s="544"/>
      <c r="P16" s="544"/>
      <c r="Q16" s="544"/>
      <c r="R16" s="544"/>
      <c r="S16" s="544"/>
    </row>
    <row r="17" ht="14.25" customHeight="1">
      <c r="A17" s="542"/>
      <c r="B17" s="543"/>
      <c r="C17" s="543"/>
      <c r="D17" s="544"/>
      <c r="E17" s="544"/>
      <c r="F17" s="544"/>
      <c r="G17" s="544"/>
      <c r="H17" s="544"/>
      <c r="I17" s="543"/>
      <c r="J17" s="543"/>
      <c r="K17" s="544"/>
      <c r="L17" s="543"/>
      <c r="M17" s="544"/>
      <c r="N17" s="543"/>
      <c r="O17" s="544"/>
      <c r="P17" s="544"/>
      <c r="Q17" s="544"/>
      <c r="R17" s="544"/>
      <c r="S17" s="544"/>
    </row>
    <row r="18" ht="14.25" customHeight="1">
      <c r="A18" s="542"/>
      <c r="B18" s="543"/>
      <c r="C18" s="543"/>
      <c r="D18" s="544"/>
      <c r="E18" s="544"/>
      <c r="F18" s="544"/>
      <c r="G18" s="544"/>
      <c r="H18" s="544"/>
      <c r="I18" s="543"/>
      <c r="J18" s="543"/>
      <c r="K18" s="544"/>
      <c r="L18" s="543"/>
      <c r="M18" s="544"/>
      <c r="N18" s="543"/>
      <c r="O18" s="544"/>
      <c r="P18" s="544"/>
      <c r="Q18" s="544"/>
      <c r="R18" s="544"/>
      <c r="S18" s="544"/>
    </row>
    <row r="19" ht="14.25" customHeight="1">
      <c r="A19" s="542"/>
      <c r="B19" s="543"/>
      <c r="C19" s="543"/>
      <c r="D19" s="544"/>
      <c r="E19" s="544"/>
      <c r="F19" s="544"/>
      <c r="G19" s="544"/>
      <c r="H19" s="544"/>
      <c r="I19" s="543"/>
      <c r="J19" s="543"/>
      <c r="K19" s="544"/>
      <c r="L19" s="543"/>
      <c r="M19" s="544"/>
      <c r="N19" s="543"/>
      <c r="O19" s="544"/>
      <c r="P19" s="544"/>
      <c r="Q19" s="544"/>
      <c r="R19" s="544"/>
      <c r="S19" s="544"/>
    </row>
    <row r="20" ht="14.25" customHeight="1">
      <c r="A20" s="542"/>
      <c r="B20" s="543"/>
      <c r="C20" s="543"/>
      <c r="D20" s="544"/>
      <c r="E20" s="544"/>
      <c r="F20" s="544"/>
      <c r="G20" s="544"/>
      <c r="H20" s="544"/>
      <c r="I20" s="543"/>
      <c r="J20" s="543"/>
      <c r="K20" s="544"/>
      <c r="L20" s="543"/>
      <c r="M20" s="544"/>
      <c r="N20" s="543"/>
      <c r="O20" s="544"/>
      <c r="P20" s="544"/>
      <c r="Q20" s="544"/>
      <c r="R20" s="544"/>
      <c r="S20" s="544"/>
    </row>
    <row r="21" ht="14.25" customHeight="1">
      <c r="A21" s="542"/>
      <c r="B21" s="543"/>
      <c r="C21" s="543"/>
      <c r="D21" s="544"/>
      <c r="E21" s="544"/>
      <c r="F21" s="544"/>
      <c r="G21" s="544"/>
      <c r="H21" s="544"/>
      <c r="I21" s="543"/>
      <c r="J21" s="543"/>
      <c r="K21" s="544"/>
      <c r="L21" s="543"/>
      <c r="M21" s="544"/>
      <c r="N21" s="543"/>
      <c r="O21" s="544"/>
      <c r="P21" s="544"/>
      <c r="Q21" s="544"/>
      <c r="R21" s="544"/>
      <c r="S21" s="544"/>
    </row>
    <row r="22" ht="14.25" customHeight="1">
      <c r="A22" s="542"/>
      <c r="B22" s="543"/>
      <c r="C22" s="543"/>
      <c r="D22" s="544"/>
      <c r="E22" s="544"/>
      <c r="F22" s="544"/>
      <c r="G22" s="544"/>
      <c r="H22" s="544"/>
      <c r="I22" s="543"/>
      <c r="J22" s="543"/>
      <c r="K22" s="544"/>
      <c r="L22" s="543"/>
      <c r="M22" s="544"/>
      <c r="N22" s="543"/>
      <c r="O22" s="544"/>
      <c r="P22" s="544"/>
      <c r="Q22" s="544"/>
      <c r="R22" s="544"/>
      <c r="S22" s="544"/>
    </row>
    <row r="23" ht="14.25" customHeight="1">
      <c r="A23" s="542"/>
      <c r="B23" s="543"/>
      <c r="C23" s="543"/>
      <c r="D23" s="544"/>
      <c r="E23" s="544"/>
      <c r="F23" s="544"/>
      <c r="G23" s="544"/>
      <c r="H23" s="544"/>
      <c r="I23" s="543"/>
      <c r="J23" s="543"/>
      <c r="K23" s="544"/>
      <c r="L23" s="543"/>
      <c r="M23" s="544"/>
      <c r="N23" s="543"/>
      <c r="O23" s="544"/>
      <c r="P23" s="544"/>
      <c r="Q23" s="544"/>
      <c r="R23" s="544"/>
      <c r="S23" s="544"/>
    </row>
    <row r="24" ht="14.25" customHeight="1">
      <c r="A24" s="542"/>
      <c r="B24" s="543"/>
      <c r="C24" s="543"/>
      <c r="D24" s="544"/>
      <c r="E24" s="544"/>
      <c r="F24" s="544"/>
      <c r="G24" s="544"/>
      <c r="H24" s="544"/>
      <c r="I24" s="543"/>
      <c r="J24" s="543"/>
      <c r="K24" s="544"/>
      <c r="L24" s="543"/>
      <c r="M24" s="544"/>
      <c r="N24" s="543"/>
      <c r="O24" s="544"/>
      <c r="P24" s="544"/>
      <c r="Q24" s="544"/>
      <c r="R24" s="544"/>
      <c r="S24" s="544"/>
    </row>
    <row r="25" ht="14.25" customHeight="1">
      <c r="A25" s="542"/>
      <c r="B25" s="543"/>
      <c r="C25" s="543"/>
      <c r="D25" s="544"/>
      <c r="E25" s="544"/>
      <c r="F25" s="544"/>
      <c r="G25" s="544"/>
      <c r="H25" s="544"/>
      <c r="I25" s="543"/>
      <c r="J25" s="543"/>
      <c r="K25" s="544"/>
      <c r="L25" s="543"/>
      <c r="M25" s="544"/>
      <c r="N25" s="543"/>
      <c r="O25" s="544"/>
      <c r="P25" s="544"/>
      <c r="Q25" s="544"/>
      <c r="R25" s="544"/>
      <c r="S25" s="544"/>
    </row>
    <row r="26" ht="14.25" customHeight="1">
      <c r="A26" s="542"/>
      <c r="B26" s="543"/>
      <c r="C26" s="543"/>
      <c r="D26" s="544"/>
      <c r="E26" s="544"/>
      <c r="F26" s="544"/>
      <c r="G26" s="544"/>
      <c r="H26" s="544"/>
      <c r="I26" s="543"/>
      <c r="J26" s="543"/>
      <c r="K26" s="544"/>
      <c r="L26" s="543"/>
      <c r="M26" s="544"/>
      <c r="N26" s="543"/>
      <c r="O26" s="544"/>
      <c r="P26" s="544"/>
      <c r="Q26" s="544"/>
      <c r="R26" s="544"/>
      <c r="S26" s="544"/>
    </row>
    <row r="27" ht="14.25" customHeight="1">
      <c r="A27" s="542"/>
      <c r="B27" s="543"/>
      <c r="C27" s="543"/>
      <c r="D27" s="544"/>
      <c r="E27" s="544"/>
      <c r="F27" s="544"/>
      <c r="G27" s="544"/>
      <c r="H27" s="544"/>
      <c r="I27" s="543"/>
      <c r="J27" s="543"/>
      <c r="K27" s="544"/>
      <c r="L27" s="543"/>
      <c r="M27" s="544"/>
      <c r="N27" s="543"/>
      <c r="O27" s="544"/>
      <c r="P27" s="544"/>
      <c r="Q27" s="544"/>
      <c r="R27" s="544"/>
      <c r="S27" s="544"/>
    </row>
    <row r="28" ht="14.25" customHeight="1">
      <c r="A28" s="542"/>
      <c r="B28" s="543"/>
      <c r="C28" s="543"/>
      <c r="D28" s="544"/>
      <c r="E28" s="544"/>
      <c r="F28" s="544"/>
      <c r="G28" s="544"/>
      <c r="H28" s="544"/>
      <c r="I28" s="543"/>
      <c r="J28" s="543"/>
      <c r="K28" s="544"/>
      <c r="L28" s="543"/>
      <c r="M28" s="544"/>
      <c r="N28" s="543"/>
      <c r="O28" s="544"/>
      <c r="P28" s="544"/>
      <c r="Q28" s="544"/>
      <c r="R28" s="544"/>
      <c r="S28" s="544"/>
    </row>
    <row r="29" ht="14.25" customHeight="1">
      <c r="A29" s="542"/>
      <c r="B29" s="543"/>
      <c r="C29" s="543"/>
      <c r="D29" s="544"/>
      <c r="E29" s="544"/>
      <c r="F29" s="544"/>
      <c r="G29" s="544"/>
      <c r="H29" s="544"/>
      <c r="I29" s="543"/>
      <c r="J29" s="543"/>
      <c r="K29" s="544"/>
      <c r="L29" s="543"/>
      <c r="M29" s="544"/>
      <c r="N29" s="543"/>
      <c r="O29" s="544"/>
      <c r="P29" s="544"/>
      <c r="Q29" s="544"/>
      <c r="R29" s="544"/>
      <c r="S29" s="544"/>
    </row>
    <row r="30" ht="14.25" customHeight="1">
      <c r="A30" s="542"/>
      <c r="B30" s="543"/>
      <c r="C30" s="543"/>
      <c r="D30" s="544"/>
      <c r="E30" s="544"/>
      <c r="F30" s="544"/>
      <c r="G30" s="544"/>
      <c r="H30" s="544"/>
      <c r="I30" s="543"/>
      <c r="J30" s="543"/>
      <c r="K30" s="544"/>
      <c r="L30" s="543"/>
      <c r="M30" s="544"/>
      <c r="N30" s="543"/>
      <c r="O30" s="544"/>
      <c r="P30" s="544"/>
      <c r="Q30" s="544"/>
      <c r="R30" s="544"/>
      <c r="S30" s="544"/>
    </row>
    <row r="31" ht="14.25" customHeight="1">
      <c r="A31" s="542"/>
      <c r="B31" s="543"/>
      <c r="C31" s="543"/>
      <c r="D31" s="544"/>
      <c r="E31" s="544"/>
      <c r="F31" s="544"/>
      <c r="G31" s="544"/>
      <c r="H31" s="544"/>
      <c r="I31" s="543"/>
      <c r="J31" s="543"/>
      <c r="K31" s="544"/>
      <c r="L31" s="543"/>
      <c r="M31" s="544"/>
      <c r="N31" s="543"/>
      <c r="O31" s="544"/>
      <c r="P31" s="544"/>
      <c r="Q31" s="544"/>
      <c r="R31" s="544"/>
      <c r="S31" s="544"/>
    </row>
    <row r="32" ht="14.25" customHeight="1">
      <c r="A32" s="542"/>
      <c r="B32" s="543"/>
      <c r="C32" s="543"/>
      <c r="D32" s="544"/>
      <c r="E32" s="544"/>
      <c r="F32" s="544"/>
      <c r="G32" s="544"/>
      <c r="H32" s="544"/>
      <c r="I32" s="543"/>
      <c r="J32" s="543"/>
      <c r="K32" s="544"/>
      <c r="L32" s="543"/>
      <c r="M32" s="544"/>
      <c r="N32" s="543"/>
      <c r="O32" s="544"/>
      <c r="P32" s="544"/>
      <c r="Q32" s="544"/>
      <c r="R32" s="544"/>
      <c r="S32" s="544"/>
    </row>
    <row r="33" ht="14.25" customHeight="1">
      <c r="A33" s="542"/>
      <c r="B33" s="543"/>
      <c r="C33" s="543"/>
      <c r="D33" s="544"/>
      <c r="E33" s="544"/>
      <c r="F33" s="544"/>
      <c r="G33" s="544"/>
      <c r="H33" s="544"/>
      <c r="I33" s="543"/>
      <c r="J33" s="543"/>
      <c r="K33" s="544"/>
      <c r="L33" s="543"/>
      <c r="M33" s="544"/>
      <c r="N33" s="543"/>
      <c r="O33" s="544"/>
      <c r="P33" s="544"/>
      <c r="Q33" s="544"/>
      <c r="R33" s="544"/>
      <c r="S33" s="544"/>
    </row>
    <row r="34" ht="14.25" customHeight="1">
      <c r="A34" s="542"/>
      <c r="B34" s="543"/>
      <c r="C34" s="543"/>
      <c r="D34" s="544"/>
      <c r="E34" s="544"/>
      <c r="F34" s="544"/>
      <c r="G34" s="544"/>
      <c r="H34" s="544"/>
      <c r="I34" s="543"/>
      <c r="J34" s="543"/>
      <c r="K34" s="544"/>
      <c r="L34" s="543"/>
      <c r="M34" s="544"/>
      <c r="N34" s="543"/>
      <c r="O34" s="544"/>
      <c r="P34" s="544"/>
      <c r="Q34" s="544"/>
      <c r="R34" s="544"/>
      <c r="S34" s="544"/>
    </row>
    <row r="35" ht="14.25" customHeight="1">
      <c r="A35" s="542"/>
      <c r="B35" s="543"/>
      <c r="C35" s="543"/>
      <c r="D35" s="544"/>
      <c r="E35" s="544"/>
      <c r="F35" s="544"/>
      <c r="G35" s="544"/>
      <c r="H35" s="544"/>
      <c r="I35" s="543"/>
      <c r="J35" s="543"/>
      <c r="K35" s="544"/>
      <c r="L35" s="543"/>
      <c r="M35" s="544"/>
      <c r="N35" s="543"/>
      <c r="O35" s="544"/>
      <c r="P35" s="544"/>
      <c r="Q35" s="544"/>
      <c r="R35" s="544"/>
      <c r="S35" s="544"/>
    </row>
    <row r="36" ht="14.25" customHeight="1">
      <c r="A36" s="542"/>
      <c r="B36" s="543"/>
      <c r="C36" s="543"/>
      <c r="D36" s="544"/>
      <c r="E36" s="544"/>
      <c r="F36" s="544"/>
      <c r="G36" s="544"/>
      <c r="H36" s="544"/>
      <c r="I36" s="543"/>
      <c r="J36" s="543"/>
      <c r="K36" s="544"/>
      <c r="L36" s="543"/>
      <c r="M36" s="544"/>
      <c r="N36" s="543"/>
      <c r="O36" s="544"/>
      <c r="P36" s="544"/>
      <c r="Q36" s="544"/>
      <c r="R36" s="544"/>
      <c r="S36" s="544"/>
    </row>
    <row r="37" ht="14.25" customHeight="1">
      <c r="A37" s="542"/>
      <c r="B37" s="543"/>
      <c r="C37" s="543"/>
      <c r="D37" s="544"/>
      <c r="E37" s="544"/>
      <c r="F37" s="544"/>
      <c r="G37" s="544"/>
      <c r="H37" s="544"/>
      <c r="I37" s="543"/>
      <c r="J37" s="543"/>
      <c r="K37" s="544"/>
      <c r="L37" s="543"/>
      <c r="M37" s="544"/>
      <c r="N37" s="543"/>
      <c r="O37" s="544"/>
      <c r="P37" s="544"/>
      <c r="Q37" s="544"/>
      <c r="R37" s="544"/>
      <c r="S37" s="544"/>
    </row>
    <row r="38" ht="14.25" customHeight="1">
      <c r="A38" s="542"/>
      <c r="B38" s="543"/>
      <c r="C38" s="543"/>
      <c r="D38" s="544"/>
      <c r="E38" s="544"/>
      <c r="F38" s="544"/>
      <c r="G38" s="544"/>
      <c r="H38" s="544"/>
      <c r="I38" s="543"/>
      <c r="J38" s="543"/>
      <c r="K38" s="544"/>
      <c r="L38" s="543"/>
      <c r="M38" s="544"/>
      <c r="N38" s="543"/>
      <c r="O38" s="544"/>
      <c r="P38" s="544"/>
      <c r="Q38" s="544"/>
      <c r="R38" s="544"/>
      <c r="S38" s="544"/>
    </row>
    <row r="39" ht="14.25" customHeight="1">
      <c r="A39" s="542"/>
      <c r="B39" s="543"/>
      <c r="C39" s="543"/>
      <c r="D39" s="544"/>
      <c r="E39" s="544"/>
      <c r="F39" s="544"/>
      <c r="G39" s="544"/>
      <c r="H39" s="544"/>
      <c r="I39" s="543"/>
      <c r="J39" s="543"/>
      <c r="K39" s="544"/>
      <c r="L39" s="543"/>
      <c r="M39" s="544"/>
      <c r="N39" s="543"/>
      <c r="O39" s="544"/>
      <c r="P39" s="544"/>
      <c r="Q39" s="544"/>
      <c r="R39" s="544"/>
      <c r="S39" s="544"/>
    </row>
    <row r="40" ht="14.25" customHeight="1">
      <c r="A40" s="542"/>
      <c r="B40" s="543"/>
      <c r="C40" s="543"/>
      <c r="D40" s="544"/>
      <c r="E40" s="544"/>
      <c r="F40" s="544"/>
      <c r="G40" s="544"/>
      <c r="H40" s="544"/>
      <c r="I40" s="543"/>
      <c r="J40" s="543"/>
      <c r="K40" s="544"/>
      <c r="L40" s="543"/>
      <c r="M40" s="544"/>
      <c r="N40" s="543"/>
      <c r="O40" s="544"/>
      <c r="P40" s="544"/>
      <c r="Q40" s="544"/>
      <c r="R40" s="544"/>
      <c r="S40" s="544"/>
    </row>
    <row r="41" ht="14.25" customHeight="1">
      <c r="A41" s="542"/>
      <c r="B41" s="543"/>
      <c r="C41" s="543"/>
      <c r="D41" s="544"/>
      <c r="E41" s="544"/>
      <c r="F41" s="544"/>
      <c r="G41" s="544"/>
      <c r="H41" s="544"/>
      <c r="I41" s="543"/>
      <c r="J41" s="543"/>
      <c r="K41" s="544"/>
      <c r="L41" s="543"/>
      <c r="M41" s="544"/>
      <c r="N41" s="543"/>
      <c r="O41" s="544"/>
      <c r="P41" s="544"/>
      <c r="Q41" s="544"/>
      <c r="R41" s="544"/>
      <c r="S41" s="544"/>
    </row>
    <row r="42" ht="14.25" customHeight="1">
      <c r="A42" s="542"/>
      <c r="B42" s="543"/>
      <c r="C42" s="543"/>
      <c r="D42" s="544"/>
      <c r="E42" s="544"/>
      <c r="F42" s="544"/>
      <c r="G42" s="544"/>
      <c r="H42" s="544"/>
      <c r="I42" s="543"/>
      <c r="J42" s="543"/>
      <c r="K42" s="544"/>
      <c r="L42" s="543"/>
      <c r="M42" s="544"/>
      <c r="N42" s="543"/>
      <c r="O42" s="544"/>
      <c r="P42" s="544"/>
      <c r="Q42" s="544"/>
      <c r="R42" s="544"/>
      <c r="S42" s="544"/>
    </row>
    <row r="43" ht="14.25" customHeight="1">
      <c r="A43" s="542"/>
      <c r="B43" s="543"/>
      <c r="C43" s="543"/>
      <c r="D43" s="544"/>
      <c r="E43" s="544"/>
      <c r="F43" s="544"/>
      <c r="G43" s="544"/>
      <c r="H43" s="544"/>
      <c r="I43" s="543"/>
      <c r="J43" s="543"/>
      <c r="K43" s="544"/>
      <c r="L43" s="543"/>
      <c r="M43" s="544"/>
      <c r="N43" s="543"/>
      <c r="O43" s="544"/>
      <c r="P43" s="544"/>
      <c r="Q43" s="544"/>
      <c r="R43" s="544"/>
      <c r="S43" s="544"/>
    </row>
    <row r="44" ht="14.25" customHeight="1">
      <c r="A44" s="542"/>
      <c r="B44" s="543"/>
      <c r="C44" s="543"/>
      <c r="D44" s="544"/>
      <c r="E44" s="544"/>
      <c r="F44" s="544"/>
      <c r="G44" s="544"/>
      <c r="H44" s="544"/>
      <c r="I44" s="543"/>
      <c r="J44" s="543"/>
      <c r="K44" s="544"/>
      <c r="L44" s="543"/>
      <c r="M44" s="544"/>
      <c r="N44" s="543"/>
      <c r="O44" s="544"/>
      <c r="P44" s="544"/>
      <c r="Q44" s="544"/>
      <c r="R44" s="544"/>
      <c r="S44" s="544"/>
    </row>
    <row r="45" ht="14.25" customHeight="1">
      <c r="A45" s="542"/>
      <c r="B45" s="543"/>
      <c r="C45" s="543"/>
      <c r="D45" s="544"/>
      <c r="E45" s="544"/>
      <c r="F45" s="544"/>
      <c r="G45" s="544"/>
      <c r="H45" s="544"/>
      <c r="I45" s="543"/>
      <c r="J45" s="543"/>
      <c r="K45" s="544"/>
      <c r="L45" s="543"/>
      <c r="M45" s="544"/>
      <c r="N45" s="543"/>
      <c r="O45" s="544"/>
      <c r="P45" s="544"/>
      <c r="Q45" s="544"/>
      <c r="R45" s="544"/>
      <c r="S45" s="544"/>
    </row>
    <row r="46" ht="14.25" customHeight="1">
      <c r="A46" s="542"/>
      <c r="B46" s="543"/>
      <c r="C46" s="543"/>
      <c r="D46" s="544"/>
      <c r="E46" s="544"/>
      <c r="F46" s="544"/>
      <c r="G46" s="544"/>
      <c r="H46" s="544"/>
      <c r="I46" s="543"/>
      <c r="J46" s="543"/>
      <c r="K46" s="544"/>
      <c r="L46" s="543"/>
      <c r="M46" s="544"/>
      <c r="N46" s="543"/>
      <c r="O46" s="544"/>
      <c r="P46" s="544"/>
      <c r="Q46" s="544"/>
      <c r="R46" s="544"/>
      <c r="S46" s="544"/>
    </row>
    <row r="47" ht="14.25" customHeight="1">
      <c r="A47" s="542"/>
      <c r="B47" s="543"/>
      <c r="C47" s="543"/>
      <c r="D47" s="544"/>
      <c r="E47" s="544"/>
      <c r="F47" s="544"/>
      <c r="G47" s="544"/>
      <c r="H47" s="544"/>
      <c r="I47" s="543"/>
      <c r="J47" s="543"/>
      <c r="K47" s="544"/>
      <c r="L47" s="543"/>
      <c r="M47" s="544"/>
      <c r="N47" s="543"/>
      <c r="O47" s="544"/>
      <c r="P47" s="544"/>
      <c r="Q47" s="544"/>
      <c r="R47" s="544"/>
      <c r="S47" s="544"/>
    </row>
    <row r="48" ht="14.25" customHeight="1">
      <c r="A48" s="542"/>
      <c r="B48" s="543"/>
      <c r="C48" s="543"/>
      <c r="D48" s="544"/>
      <c r="E48" s="544"/>
      <c r="F48" s="544"/>
      <c r="G48" s="544"/>
      <c r="H48" s="544"/>
      <c r="I48" s="543"/>
      <c r="J48" s="543"/>
      <c r="K48" s="544"/>
      <c r="L48" s="543"/>
      <c r="M48" s="544"/>
      <c r="N48" s="543"/>
      <c r="O48" s="544"/>
      <c r="P48" s="544"/>
      <c r="Q48" s="544"/>
      <c r="R48" s="544"/>
      <c r="S48" s="544"/>
    </row>
    <row r="49" ht="14.25" customHeight="1">
      <c r="A49" s="542"/>
      <c r="B49" s="543"/>
      <c r="C49" s="543"/>
      <c r="D49" s="544"/>
      <c r="E49" s="544"/>
      <c r="F49" s="544"/>
      <c r="G49" s="544"/>
      <c r="H49" s="544"/>
      <c r="I49" s="543"/>
      <c r="J49" s="543"/>
      <c r="K49" s="544"/>
      <c r="L49" s="543"/>
      <c r="M49" s="544"/>
      <c r="N49" s="543"/>
      <c r="O49" s="544"/>
      <c r="P49" s="544"/>
      <c r="Q49" s="544"/>
      <c r="R49" s="544"/>
      <c r="S49" s="544"/>
    </row>
    <row r="50" ht="14.25" customHeight="1">
      <c r="A50" s="542"/>
      <c r="B50" s="543"/>
      <c r="C50" s="543"/>
      <c r="D50" s="544"/>
      <c r="E50" s="544"/>
      <c r="F50" s="544"/>
      <c r="G50" s="544"/>
      <c r="H50" s="544"/>
      <c r="I50" s="543"/>
      <c r="J50" s="543"/>
      <c r="K50" s="544"/>
      <c r="L50" s="543"/>
      <c r="M50" s="544"/>
      <c r="N50" s="543"/>
      <c r="O50" s="544"/>
      <c r="P50" s="544"/>
      <c r="Q50" s="544"/>
      <c r="R50" s="544"/>
      <c r="S50" s="544"/>
    </row>
    <row r="51" ht="14.25" customHeight="1">
      <c r="A51" s="542"/>
      <c r="B51" s="543"/>
      <c r="C51" s="543"/>
      <c r="D51" s="544"/>
      <c r="E51" s="544"/>
      <c r="F51" s="544"/>
      <c r="G51" s="544"/>
      <c r="H51" s="544"/>
      <c r="I51" s="543"/>
      <c r="J51" s="543"/>
      <c r="K51" s="544"/>
      <c r="L51" s="543"/>
      <c r="M51" s="544"/>
      <c r="N51" s="543"/>
      <c r="O51" s="544"/>
      <c r="P51" s="544"/>
      <c r="Q51" s="544"/>
      <c r="R51" s="544"/>
      <c r="S51" s="544"/>
    </row>
    <row r="52" ht="14.25" customHeight="1">
      <c r="A52" s="542"/>
      <c r="B52" s="543"/>
      <c r="C52" s="543"/>
      <c r="D52" s="544"/>
      <c r="E52" s="544"/>
      <c r="F52" s="544"/>
      <c r="G52" s="544"/>
      <c r="H52" s="544"/>
      <c r="I52" s="543"/>
      <c r="J52" s="543"/>
      <c r="K52" s="544"/>
      <c r="L52" s="543"/>
      <c r="M52" s="544"/>
      <c r="N52" s="543"/>
      <c r="O52" s="544"/>
      <c r="P52" s="544"/>
      <c r="Q52" s="544"/>
      <c r="R52" s="544"/>
      <c r="S52" s="544"/>
    </row>
    <row r="53" ht="14.25" customHeight="1">
      <c r="A53" s="542"/>
      <c r="B53" s="543"/>
      <c r="C53" s="543"/>
      <c r="D53" s="544"/>
      <c r="E53" s="544"/>
      <c r="F53" s="544"/>
      <c r="G53" s="544"/>
      <c r="H53" s="544"/>
      <c r="I53" s="543"/>
      <c r="J53" s="543"/>
      <c r="K53" s="544"/>
      <c r="L53" s="543"/>
      <c r="M53" s="544"/>
      <c r="N53" s="543"/>
      <c r="O53" s="544"/>
      <c r="P53" s="544"/>
      <c r="Q53" s="544"/>
      <c r="R53" s="544"/>
      <c r="S53" s="544"/>
    </row>
    <row r="54" ht="14.25" customHeight="1">
      <c r="A54" s="542"/>
      <c r="B54" s="543"/>
      <c r="C54" s="543"/>
      <c r="D54" s="544"/>
      <c r="E54" s="544"/>
      <c r="F54" s="544"/>
      <c r="G54" s="544"/>
      <c r="H54" s="544"/>
      <c r="I54" s="543"/>
      <c r="J54" s="543"/>
      <c r="K54" s="544"/>
      <c r="L54" s="543"/>
      <c r="M54" s="544"/>
      <c r="N54" s="543"/>
      <c r="O54" s="544"/>
      <c r="P54" s="544"/>
      <c r="Q54" s="544"/>
      <c r="R54" s="544"/>
      <c r="S54" s="544"/>
    </row>
    <row r="55" ht="14.25" customHeight="1">
      <c r="A55" s="542"/>
      <c r="B55" s="543"/>
      <c r="C55" s="543"/>
      <c r="D55" s="544"/>
      <c r="E55" s="544"/>
      <c r="F55" s="544"/>
      <c r="G55" s="544"/>
      <c r="H55" s="544"/>
      <c r="I55" s="543"/>
      <c r="J55" s="543"/>
      <c r="K55" s="544"/>
      <c r="L55" s="543"/>
      <c r="M55" s="544"/>
      <c r="N55" s="543"/>
      <c r="O55" s="544"/>
      <c r="P55" s="544"/>
      <c r="Q55" s="544"/>
      <c r="R55" s="544"/>
      <c r="S55" s="544"/>
    </row>
    <row r="56" ht="14.25" customHeight="1">
      <c r="A56" s="542"/>
      <c r="B56" s="543"/>
      <c r="C56" s="543"/>
      <c r="D56" s="544"/>
      <c r="E56" s="544"/>
      <c r="F56" s="544"/>
      <c r="G56" s="544"/>
      <c r="H56" s="544"/>
      <c r="I56" s="543"/>
      <c r="J56" s="543"/>
      <c r="K56" s="544"/>
      <c r="L56" s="543"/>
      <c r="M56" s="544"/>
      <c r="N56" s="543"/>
      <c r="O56" s="544"/>
      <c r="P56" s="544"/>
      <c r="Q56" s="544"/>
      <c r="R56" s="544"/>
      <c r="S56" s="544"/>
    </row>
    <row r="57" ht="14.25" customHeight="1">
      <c r="A57" s="542"/>
      <c r="B57" s="543"/>
      <c r="C57" s="543"/>
      <c r="D57" s="544"/>
      <c r="E57" s="544"/>
      <c r="F57" s="544"/>
      <c r="G57" s="544"/>
      <c r="H57" s="544"/>
      <c r="I57" s="543"/>
      <c r="J57" s="543"/>
      <c r="K57" s="544"/>
      <c r="L57" s="543"/>
      <c r="M57" s="544"/>
      <c r="N57" s="543"/>
      <c r="O57" s="544"/>
      <c r="P57" s="544"/>
      <c r="Q57" s="544"/>
      <c r="R57" s="544"/>
      <c r="S57" s="544"/>
    </row>
    <row r="58" ht="14.25" customHeight="1">
      <c r="A58" s="542"/>
      <c r="B58" s="543"/>
      <c r="C58" s="543"/>
      <c r="D58" s="544"/>
      <c r="E58" s="544"/>
      <c r="F58" s="544"/>
      <c r="G58" s="544"/>
      <c r="H58" s="544"/>
      <c r="I58" s="543"/>
      <c r="J58" s="543"/>
      <c r="K58" s="544"/>
      <c r="L58" s="543"/>
      <c r="M58" s="544"/>
      <c r="N58" s="543"/>
      <c r="O58" s="544"/>
      <c r="P58" s="544"/>
      <c r="Q58" s="544"/>
      <c r="R58" s="544"/>
      <c r="S58" s="544"/>
    </row>
    <row r="59" ht="14.25" customHeight="1">
      <c r="A59" s="542"/>
      <c r="B59" s="543"/>
      <c r="C59" s="543"/>
      <c r="D59" s="544"/>
      <c r="E59" s="544"/>
      <c r="F59" s="544"/>
      <c r="G59" s="544"/>
      <c r="H59" s="544"/>
      <c r="I59" s="543"/>
      <c r="J59" s="543"/>
      <c r="K59" s="544"/>
      <c r="L59" s="543"/>
      <c r="M59" s="544"/>
      <c r="N59" s="543"/>
      <c r="O59" s="544"/>
      <c r="P59" s="544"/>
      <c r="Q59" s="544"/>
      <c r="R59" s="544"/>
      <c r="S59" s="544"/>
    </row>
    <row r="60" ht="14.25" customHeight="1">
      <c r="A60" s="542"/>
      <c r="B60" s="543"/>
      <c r="C60" s="543"/>
      <c r="D60" s="544"/>
      <c r="E60" s="544"/>
      <c r="F60" s="544"/>
      <c r="G60" s="544"/>
      <c r="H60" s="544"/>
      <c r="I60" s="543"/>
      <c r="J60" s="543"/>
      <c r="K60" s="544"/>
      <c r="L60" s="543"/>
      <c r="M60" s="544"/>
      <c r="N60" s="543"/>
      <c r="O60" s="544"/>
      <c r="P60" s="544"/>
      <c r="Q60" s="544"/>
      <c r="R60" s="544"/>
      <c r="S60" s="544"/>
    </row>
    <row r="61" ht="14.25" customHeight="1">
      <c r="A61" s="542"/>
      <c r="B61" s="543"/>
      <c r="C61" s="543"/>
      <c r="D61" s="544"/>
      <c r="E61" s="544"/>
      <c r="F61" s="544"/>
      <c r="G61" s="544"/>
      <c r="H61" s="544"/>
      <c r="I61" s="543"/>
      <c r="J61" s="543"/>
      <c r="K61" s="544"/>
      <c r="L61" s="543"/>
      <c r="M61" s="544"/>
      <c r="N61" s="543"/>
      <c r="O61" s="544"/>
      <c r="P61" s="544"/>
      <c r="Q61" s="544"/>
      <c r="R61" s="544"/>
      <c r="S61" s="544"/>
    </row>
    <row r="62" ht="14.25" customHeight="1">
      <c r="A62" s="542"/>
      <c r="B62" s="543"/>
      <c r="C62" s="543"/>
      <c r="D62" s="544"/>
      <c r="E62" s="544"/>
      <c r="F62" s="544"/>
      <c r="G62" s="544"/>
      <c r="H62" s="544"/>
      <c r="I62" s="543"/>
      <c r="J62" s="543"/>
      <c r="K62" s="544"/>
      <c r="L62" s="543"/>
      <c r="M62" s="544"/>
      <c r="N62" s="543"/>
      <c r="O62" s="544"/>
      <c r="P62" s="544"/>
      <c r="Q62" s="544"/>
      <c r="R62" s="544"/>
      <c r="S62" s="544"/>
    </row>
    <row r="63" ht="14.25" customHeight="1">
      <c r="A63" s="542"/>
      <c r="B63" s="543"/>
      <c r="C63" s="543"/>
      <c r="D63" s="544"/>
      <c r="E63" s="544"/>
      <c r="F63" s="544"/>
      <c r="G63" s="544"/>
      <c r="H63" s="544"/>
      <c r="I63" s="543"/>
      <c r="J63" s="543"/>
      <c r="K63" s="544"/>
      <c r="L63" s="543"/>
      <c r="M63" s="544"/>
      <c r="N63" s="543"/>
      <c r="O63" s="544"/>
      <c r="P63" s="544"/>
      <c r="Q63" s="544"/>
      <c r="R63" s="544"/>
      <c r="S63" s="544"/>
    </row>
    <row r="64" ht="14.25" customHeight="1">
      <c r="A64" s="542"/>
      <c r="B64" s="543"/>
      <c r="C64" s="543"/>
      <c r="D64" s="544"/>
      <c r="E64" s="544"/>
      <c r="F64" s="544"/>
      <c r="G64" s="544"/>
      <c r="H64" s="544"/>
      <c r="I64" s="543"/>
      <c r="J64" s="543"/>
      <c r="K64" s="544"/>
      <c r="L64" s="543"/>
      <c r="M64" s="544"/>
      <c r="N64" s="543"/>
      <c r="O64" s="544"/>
      <c r="P64" s="544"/>
      <c r="Q64" s="544"/>
      <c r="R64" s="544"/>
      <c r="S64" s="544"/>
    </row>
    <row r="65" ht="14.25" customHeight="1">
      <c r="A65" s="542"/>
      <c r="B65" s="543"/>
      <c r="C65" s="543"/>
      <c r="D65" s="544"/>
      <c r="E65" s="544"/>
      <c r="F65" s="544"/>
      <c r="G65" s="544"/>
      <c r="H65" s="544"/>
      <c r="I65" s="543"/>
      <c r="J65" s="543"/>
      <c r="K65" s="544"/>
      <c r="L65" s="543"/>
      <c r="M65" s="544"/>
      <c r="N65" s="543"/>
      <c r="O65" s="544"/>
      <c r="P65" s="544"/>
      <c r="Q65" s="544"/>
      <c r="R65" s="544"/>
      <c r="S65" s="544"/>
    </row>
    <row r="66" ht="14.25" customHeight="1">
      <c r="A66" s="542"/>
      <c r="B66" s="543"/>
      <c r="C66" s="543"/>
      <c r="D66" s="544"/>
      <c r="E66" s="544"/>
      <c r="F66" s="544"/>
      <c r="G66" s="544"/>
      <c r="H66" s="544"/>
      <c r="I66" s="543"/>
      <c r="J66" s="543"/>
      <c r="K66" s="544"/>
      <c r="L66" s="543"/>
      <c r="M66" s="544"/>
      <c r="N66" s="543"/>
      <c r="O66" s="544"/>
      <c r="P66" s="544"/>
      <c r="Q66" s="544"/>
      <c r="R66" s="544"/>
      <c r="S66" s="544"/>
    </row>
    <row r="67" ht="14.25" customHeight="1">
      <c r="A67" s="542"/>
      <c r="B67" s="543"/>
      <c r="C67" s="543"/>
      <c r="D67" s="544"/>
      <c r="E67" s="544"/>
      <c r="F67" s="544"/>
      <c r="G67" s="544"/>
      <c r="H67" s="544"/>
      <c r="I67" s="543"/>
      <c r="J67" s="543"/>
      <c r="K67" s="544"/>
      <c r="L67" s="543"/>
      <c r="M67" s="544"/>
      <c r="N67" s="543"/>
      <c r="O67" s="544"/>
      <c r="P67" s="544"/>
      <c r="Q67" s="544"/>
      <c r="R67" s="544"/>
      <c r="S67" s="544"/>
    </row>
    <row r="68" ht="14.25" customHeight="1">
      <c r="A68" s="542"/>
      <c r="B68" s="543"/>
      <c r="C68" s="543"/>
      <c r="D68" s="544"/>
      <c r="E68" s="544"/>
      <c r="F68" s="544"/>
      <c r="G68" s="544"/>
      <c r="H68" s="544"/>
      <c r="I68" s="543"/>
      <c r="J68" s="543"/>
      <c r="K68" s="544"/>
      <c r="L68" s="543"/>
      <c r="M68" s="544"/>
      <c r="N68" s="543"/>
      <c r="O68" s="544"/>
      <c r="P68" s="544"/>
      <c r="Q68" s="544"/>
      <c r="R68" s="544"/>
      <c r="S68" s="544"/>
    </row>
    <row r="69" ht="14.25" customHeight="1">
      <c r="A69" s="542"/>
      <c r="B69" s="543"/>
      <c r="C69" s="543"/>
      <c r="D69" s="544"/>
      <c r="E69" s="544"/>
      <c r="F69" s="544"/>
      <c r="G69" s="544"/>
      <c r="H69" s="544"/>
      <c r="I69" s="543"/>
      <c r="J69" s="543"/>
      <c r="K69" s="544"/>
      <c r="L69" s="543"/>
      <c r="M69" s="544"/>
      <c r="N69" s="543"/>
      <c r="O69" s="544"/>
      <c r="P69" s="544"/>
      <c r="Q69" s="544"/>
      <c r="R69" s="544"/>
      <c r="S69" s="544"/>
    </row>
    <row r="70" ht="14.25" customHeight="1">
      <c r="A70" s="542"/>
      <c r="B70" s="543"/>
      <c r="C70" s="543"/>
      <c r="D70" s="544"/>
      <c r="E70" s="544"/>
      <c r="F70" s="544"/>
      <c r="G70" s="544"/>
      <c r="H70" s="544"/>
      <c r="I70" s="543"/>
      <c r="J70" s="543"/>
      <c r="K70" s="544"/>
      <c r="L70" s="543"/>
      <c r="M70" s="544"/>
      <c r="N70" s="543"/>
      <c r="O70" s="544"/>
      <c r="P70" s="544"/>
      <c r="Q70" s="544"/>
      <c r="R70" s="544"/>
      <c r="S70" s="544"/>
    </row>
    <row r="71" ht="14.25" customHeight="1">
      <c r="A71" s="542"/>
      <c r="B71" s="543"/>
      <c r="C71" s="543"/>
      <c r="D71" s="544"/>
      <c r="E71" s="544"/>
      <c r="F71" s="544"/>
      <c r="G71" s="544"/>
      <c r="H71" s="544"/>
      <c r="I71" s="543"/>
      <c r="J71" s="543"/>
      <c r="K71" s="544"/>
      <c r="L71" s="543"/>
      <c r="M71" s="544"/>
      <c r="N71" s="543"/>
      <c r="O71" s="544"/>
      <c r="P71" s="544"/>
      <c r="Q71" s="544"/>
      <c r="R71" s="544"/>
      <c r="S71" s="544"/>
    </row>
    <row r="72" ht="14.25" customHeight="1">
      <c r="A72" s="542"/>
      <c r="B72" s="543"/>
      <c r="C72" s="543"/>
      <c r="D72" s="544"/>
      <c r="E72" s="544"/>
      <c r="F72" s="544"/>
      <c r="G72" s="544"/>
      <c r="H72" s="544"/>
      <c r="I72" s="543"/>
      <c r="J72" s="543"/>
      <c r="K72" s="544"/>
      <c r="L72" s="543"/>
      <c r="M72" s="544"/>
      <c r="N72" s="543"/>
      <c r="O72" s="544"/>
      <c r="P72" s="544"/>
      <c r="Q72" s="544"/>
      <c r="R72" s="544"/>
      <c r="S72" s="544"/>
    </row>
    <row r="73" ht="14.25" customHeight="1">
      <c r="A73" s="542"/>
      <c r="B73" s="543"/>
      <c r="C73" s="543"/>
      <c r="D73" s="544"/>
      <c r="E73" s="544"/>
      <c r="F73" s="544"/>
      <c r="G73" s="544"/>
      <c r="H73" s="544"/>
      <c r="I73" s="543"/>
      <c r="J73" s="543"/>
      <c r="K73" s="544"/>
      <c r="L73" s="543"/>
      <c r="M73" s="544"/>
      <c r="N73" s="543"/>
      <c r="O73" s="544"/>
      <c r="P73" s="544"/>
      <c r="Q73" s="544"/>
      <c r="R73" s="544"/>
      <c r="S73" s="544"/>
    </row>
    <row r="74" ht="14.25" customHeight="1">
      <c r="A74" s="542"/>
      <c r="B74" s="543"/>
      <c r="C74" s="543"/>
      <c r="D74" s="544"/>
      <c r="E74" s="544"/>
      <c r="F74" s="544"/>
      <c r="G74" s="544"/>
      <c r="H74" s="544"/>
      <c r="I74" s="543"/>
      <c r="J74" s="543"/>
      <c r="K74" s="544"/>
      <c r="L74" s="543"/>
      <c r="M74" s="544"/>
      <c r="N74" s="543"/>
      <c r="O74" s="544"/>
      <c r="P74" s="544"/>
      <c r="Q74" s="544"/>
      <c r="R74" s="544"/>
      <c r="S74" s="544"/>
    </row>
    <row r="75" ht="14.25" customHeight="1">
      <c r="A75" s="542"/>
      <c r="B75" s="543"/>
      <c r="C75" s="543"/>
      <c r="D75" s="544"/>
      <c r="E75" s="544"/>
      <c r="F75" s="544"/>
      <c r="G75" s="544"/>
      <c r="H75" s="544"/>
      <c r="I75" s="543"/>
      <c r="J75" s="543"/>
      <c r="K75" s="544"/>
      <c r="L75" s="543"/>
      <c r="M75" s="544"/>
      <c r="N75" s="543"/>
      <c r="O75" s="544"/>
      <c r="P75" s="544"/>
      <c r="Q75" s="544"/>
      <c r="R75" s="544"/>
      <c r="S75" s="544"/>
    </row>
    <row r="76" ht="14.25" customHeight="1">
      <c r="A76" s="542"/>
      <c r="B76" s="543"/>
      <c r="C76" s="543"/>
      <c r="D76" s="544"/>
      <c r="E76" s="544"/>
      <c r="F76" s="544"/>
      <c r="G76" s="544"/>
      <c r="H76" s="544"/>
      <c r="I76" s="543"/>
      <c r="J76" s="543"/>
      <c r="K76" s="544"/>
      <c r="L76" s="543"/>
      <c r="M76" s="544"/>
      <c r="N76" s="543"/>
      <c r="O76" s="544"/>
      <c r="P76" s="544"/>
      <c r="Q76" s="544"/>
      <c r="R76" s="544"/>
      <c r="S76" s="544"/>
    </row>
    <row r="77" ht="14.25" customHeight="1">
      <c r="A77" s="542"/>
      <c r="B77" s="543"/>
      <c r="C77" s="543"/>
      <c r="D77" s="544"/>
      <c r="E77" s="544"/>
      <c r="F77" s="544"/>
      <c r="G77" s="544"/>
      <c r="H77" s="544"/>
      <c r="I77" s="543"/>
      <c r="J77" s="543"/>
      <c r="K77" s="544"/>
      <c r="L77" s="543"/>
      <c r="M77" s="544"/>
      <c r="N77" s="543"/>
      <c r="O77" s="544"/>
      <c r="P77" s="544"/>
      <c r="Q77" s="544"/>
      <c r="R77" s="544"/>
      <c r="S77" s="544"/>
    </row>
    <row r="78" ht="14.25" customHeight="1">
      <c r="A78" s="542"/>
      <c r="B78" s="543"/>
      <c r="C78" s="543"/>
      <c r="D78" s="544"/>
      <c r="E78" s="544"/>
      <c r="F78" s="544"/>
      <c r="G78" s="544"/>
      <c r="H78" s="544"/>
      <c r="I78" s="543"/>
      <c r="J78" s="543"/>
      <c r="K78" s="544"/>
      <c r="L78" s="543"/>
      <c r="M78" s="544"/>
      <c r="N78" s="543"/>
      <c r="O78" s="544"/>
      <c r="P78" s="544"/>
      <c r="Q78" s="544"/>
      <c r="R78" s="544"/>
      <c r="S78" s="544"/>
    </row>
    <row r="79" ht="14.25" customHeight="1">
      <c r="A79" s="542"/>
      <c r="B79" s="543"/>
      <c r="C79" s="543"/>
      <c r="D79" s="544"/>
      <c r="E79" s="544"/>
      <c r="F79" s="544"/>
      <c r="G79" s="544"/>
      <c r="H79" s="544"/>
      <c r="I79" s="543"/>
      <c r="J79" s="543"/>
      <c r="K79" s="544"/>
      <c r="L79" s="543"/>
      <c r="M79" s="544"/>
      <c r="N79" s="543"/>
      <c r="O79" s="544"/>
      <c r="P79" s="544"/>
      <c r="Q79" s="544"/>
      <c r="R79" s="544"/>
      <c r="S79" s="544"/>
    </row>
    <row r="80" ht="14.25" customHeight="1">
      <c r="A80" s="542"/>
      <c r="B80" s="543"/>
      <c r="C80" s="543"/>
      <c r="D80" s="544"/>
      <c r="E80" s="544"/>
      <c r="F80" s="544"/>
      <c r="G80" s="544"/>
      <c r="H80" s="544"/>
      <c r="I80" s="543"/>
      <c r="J80" s="543"/>
      <c r="K80" s="544"/>
      <c r="L80" s="543"/>
      <c r="M80" s="544"/>
      <c r="N80" s="543"/>
      <c r="O80" s="544"/>
      <c r="P80" s="544"/>
      <c r="Q80" s="544"/>
      <c r="R80" s="544"/>
      <c r="S80" s="544"/>
    </row>
    <row r="81" ht="14.25" customHeight="1">
      <c r="A81" s="542"/>
      <c r="B81" s="543"/>
      <c r="C81" s="543"/>
      <c r="D81" s="544"/>
      <c r="E81" s="544"/>
      <c r="F81" s="544"/>
      <c r="G81" s="544"/>
      <c r="H81" s="544"/>
      <c r="I81" s="543"/>
      <c r="J81" s="543"/>
      <c r="K81" s="544"/>
      <c r="L81" s="543"/>
      <c r="M81" s="544"/>
      <c r="N81" s="543"/>
      <c r="O81" s="544"/>
      <c r="P81" s="544"/>
      <c r="Q81" s="544"/>
      <c r="R81" s="544"/>
      <c r="S81" s="544"/>
    </row>
    <row r="82" ht="14.25" customHeight="1">
      <c r="A82" s="542"/>
      <c r="B82" s="543"/>
      <c r="C82" s="543"/>
      <c r="D82" s="544"/>
      <c r="E82" s="544"/>
      <c r="F82" s="544"/>
      <c r="G82" s="544"/>
      <c r="H82" s="544"/>
      <c r="I82" s="543"/>
      <c r="J82" s="543"/>
      <c r="K82" s="544"/>
      <c r="L82" s="543"/>
      <c r="M82" s="544"/>
      <c r="N82" s="543"/>
      <c r="O82" s="544"/>
      <c r="P82" s="544"/>
      <c r="Q82" s="544"/>
      <c r="R82" s="544"/>
      <c r="S82" s="544"/>
    </row>
    <row r="83" ht="14.25" customHeight="1">
      <c r="A83" s="542"/>
      <c r="B83" s="543"/>
      <c r="C83" s="543"/>
      <c r="D83" s="544"/>
      <c r="E83" s="544"/>
      <c r="F83" s="544"/>
      <c r="G83" s="544"/>
      <c r="H83" s="544"/>
      <c r="I83" s="543"/>
      <c r="J83" s="543"/>
      <c r="K83" s="544"/>
      <c r="L83" s="543"/>
      <c r="M83" s="544"/>
      <c r="N83" s="543"/>
      <c r="O83" s="544"/>
      <c r="P83" s="544"/>
      <c r="Q83" s="544"/>
      <c r="R83" s="544"/>
      <c r="S83" s="544"/>
    </row>
    <row r="84" ht="14.25" customHeight="1">
      <c r="A84" s="542"/>
      <c r="B84" s="543"/>
      <c r="C84" s="543"/>
      <c r="D84" s="544"/>
      <c r="E84" s="544"/>
      <c r="F84" s="544"/>
      <c r="G84" s="544"/>
      <c r="H84" s="544"/>
      <c r="I84" s="543"/>
      <c r="J84" s="543"/>
      <c r="K84" s="544"/>
      <c r="L84" s="543"/>
      <c r="M84" s="544"/>
      <c r="N84" s="543"/>
      <c r="O84" s="544"/>
      <c r="P84" s="544"/>
      <c r="Q84" s="544"/>
      <c r="R84" s="544"/>
      <c r="S84" s="544"/>
    </row>
    <row r="85" ht="14.25" customHeight="1">
      <c r="A85" s="542"/>
      <c r="B85" s="543"/>
      <c r="C85" s="543"/>
      <c r="D85" s="544"/>
      <c r="E85" s="544"/>
      <c r="F85" s="544"/>
      <c r="G85" s="544"/>
      <c r="H85" s="544"/>
      <c r="I85" s="543"/>
      <c r="J85" s="543"/>
      <c r="K85" s="544"/>
      <c r="L85" s="543"/>
      <c r="M85" s="544"/>
      <c r="N85" s="543"/>
      <c r="O85" s="544"/>
      <c r="P85" s="544"/>
      <c r="Q85" s="544"/>
      <c r="R85" s="544"/>
      <c r="S85" s="544"/>
    </row>
    <row r="86" ht="14.25" customHeight="1">
      <c r="A86" s="542"/>
      <c r="B86" s="543"/>
      <c r="C86" s="543"/>
      <c r="D86" s="544"/>
      <c r="E86" s="544"/>
      <c r="F86" s="544"/>
      <c r="G86" s="544"/>
      <c r="H86" s="544"/>
      <c r="I86" s="543"/>
      <c r="J86" s="543"/>
      <c r="K86" s="544"/>
      <c r="L86" s="543"/>
      <c r="M86" s="544"/>
      <c r="N86" s="543"/>
      <c r="O86" s="544"/>
      <c r="P86" s="544"/>
      <c r="Q86" s="544"/>
      <c r="R86" s="544"/>
      <c r="S86" s="544"/>
    </row>
    <row r="87" ht="14.25" customHeight="1">
      <c r="A87" s="542"/>
      <c r="B87" s="543"/>
      <c r="C87" s="543"/>
      <c r="D87" s="544"/>
      <c r="E87" s="544"/>
      <c r="F87" s="544"/>
      <c r="G87" s="544"/>
      <c r="H87" s="544"/>
      <c r="I87" s="543"/>
      <c r="J87" s="543"/>
      <c r="K87" s="544"/>
      <c r="L87" s="543"/>
      <c r="M87" s="544"/>
      <c r="N87" s="543"/>
      <c r="O87" s="544"/>
      <c r="P87" s="544"/>
      <c r="Q87" s="544"/>
      <c r="R87" s="544"/>
      <c r="S87" s="544"/>
    </row>
    <row r="88" ht="14.25" customHeight="1">
      <c r="A88" s="542"/>
      <c r="B88" s="543"/>
      <c r="C88" s="543"/>
      <c r="D88" s="544"/>
      <c r="E88" s="544"/>
      <c r="F88" s="544"/>
      <c r="G88" s="544"/>
      <c r="H88" s="544"/>
      <c r="I88" s="543"/>
      <c r="J88" s="543"/>
      <c r="K88" s="544"/>
      <c r="L88" s="543"/>
      <c r="M88" s="544"/>
      <c r="N88" s="543"/>
      <c r="O88" s="544"/>
      <c r="P88" s="544"/>
      <c r="Q88" s="544"/>
      <c r="R88" s="544"/>
      <c r="S88" s="544"/>
    </row>
    <row r="89" ht="14.25" customHeight="1">
      <c r="A89" s="542"/>
      <c r="B89" s="543"/>
      <c r="C89" s="543"/>
      <c r="D89" s="544"/>
      <c r="E89" s="544"/>
      <c r="F89" s="544"/>
      <c r="G89" s="544"/>
      <c r="H89" s="544"/>
      <c r="I89" s="543"/>
      <c r="J89" s="543"/>
      <c r="K89" s="544"/>
      <c r="L89" s="543"/>
      <c r="M89" s="544"/>
      <c r="N89" s="543"/>
      <c r="O89" s="544"/>
      <c r="P89" s="544"/>
      <c r="Q89" s="544"/>
      <c r="R89" s="544"/>
      <c r="S89" s="544"/>
    </row>
    <row r="90" ht="14.25" customHeight="1">
      <c r="A90" s="542"/>
      <c r="B90" s="543"/>
      <c r="C90" s="543"/>
      <c r="D90" s="544"/>
      <c r="E90" s="544"/>
      <c r="F90" s="544"/>
      <c r="G90" s="544"/>
      <c r="H90" s="544"/>
      <c r="I90" s="543"/>
      <c r="J90" s="543"/>
      <c r="K90" s="544"/>
      <c r="L90" s="543"/>
      <c r="M90" s="544"/>
      <c r="N90" s="543"/>
      <c r="O90" s="544"/>
      <c r="P90" s="544"/>
      <c r="Q90" s="544"/>
      <c r="R90" s="544"/>
      <c r="S90" s="544"/>
    </row>
    <row r="91" ht="14.25" customHeight="1">
      <c r="A91" s="542"/>
      <c r="B91" s="543"/>
      <c r="C91" s="543"/>
      <c r="D91" s="544"/>
      <c r="E91" s="544"/>
      <c r="F91" s="544"/>
      <c r="G91" s="544"/>
      <c r="H91" s="544"/>
      <c r="I91" s="543"/>
      <c r="J91" s="543"/>
      <c r="K91" s="544"/>
      <c r="L91" s="543"/>
      <c r="M91" s="544"/>
      <c r="N91" s="543"/>
      <c r="O91" s="544"/>
      <c r="P91" s="544"/>
      <c r="Q91" s="544"/>
      <c r="R91" s="544"/>
      <c r="S91" s="544"/>
    </row>
    <row r="92" ht="14.25" customHeight="1">
      <c r="A92" s="542"/>
      <c r="B92" s="543"/>
      <c r="C92" s="543"/>
      <c r="D92" s="544"/>
      <c r="E92" s="544"/>
      <c r="F92" s="544"/>
      <c r="G92" s="544"/>
      <c r="H92" s="544"/>
      <c r="I92" s="543"/>
      <c r="J92" s="543"/>
      <c r="K92" s="544"/>
      <c r="L92" s="543"/>
      <c r="M92" s="544"/>
      <c r="N92" s="543"/>
      <c r="O92" s="544"/>
      <c r="P92" s="544"/>
      <c r="Q92" s="544"/>
      <c r="R92" s="544"/>
      <c r="S92" s="544"/>
    </row>
    <row r="93" ht="14.25" customHeight="1">
      <c r="A93" s="542"/>
      <c r="B93" s="543"/>
      <c r="C93" s="543"/>
      <c r="D93" s="544"/>
      <c r="E93" s="544"/>
      <c r="F93" s="544"/>
      <c r="G93" s="544"/>
      <c r="H93" s="544"/>
      <c r="I93" s="543"/>
      <c r="J93" s="543"/>
      <c r="K93" s="544"/>
      <c r="L93" s="543"/>
      <c r="M93" s="544"/>
      <c r="N93" s="543"/>
      <c r="O93" s="544"/>
      <c r="P93" s="544"/>
      <c r="Q93" s="544"/>
      <c r="R93" s="544"/>
      <c r="S93" s="544"/>
    </row>
    <row r="94" ht="14.25" customHeight="1">
      <c r="A94" s="542"/>
      <c r="B94" s="543"/>
      <c r="C94" s="543"/>
      <c r="D94" s="544"/>
      <c r="E94" s="544"/>
      <c r="F94" s="544"/>
      <c r="G94" s="544"/>
      <c r="H94" s="544"/>
      <c r="I94" s="543"/>
      <c r="J94" s="543"/>
      <c r="K94" s="544"/>
      <c r="L94" s="543"/>
      <c r="M94" s="544"/>
      <c r="N94" s="543"/>
      <c r="O94" s="544"/>
      <c r="P94" s="544"/>
      <c r="Q94" s="544"/>
      <c r="R94" s="544"/>
      <c r="S94" s="544"/>
    </row>
    <row r="95" ht="14.25" customHeight="1">
      <c r="A95" s="542"/>
      <c r="B95" s="543"/>
      <c r="C95" s="543"/>
      <c r="D95" s="544"/>
      <c r="E95" s="544"/>
      <c r="F95" s="544"/>
      <c r="G95" s="544"/>
      <c r="H95" s="544"/>
      <c r="I95" s="543"/>
      <c r="J95" s="543"/>
      <c r="K95" s="544"/>
      <c r="L95" s="543"/>
      <c r="M95" s="544"/>
      <c r="N95" s="543"/>
      <c r="O95" s="544"/>
      <c r="P95" s="544"/>
      <c r="Q95" s="544"/>
      <c r="R95" s="544"/>
      <c r="S95" s="544"/>
    </row>
    <row r="96" ht="14.25" customHeight="1">
      <c r="A96" s="542"/>
      <c r="B96" s="543"/>
      <c r="C96" s="543"/>
      <c r="D96" s="544"/>
      <c r="E96" s="544"/>
      <c r="F96" s="544"/>
      <c r="G96" s="544"/>
      <c r="H96" s="544"/>
      <c r="I96" s="543"/>
      <c r="J96" s="543"/>
      <c r="K96" s="544"/>
      <c r="L96" s="543"/>
      <c r="M96" s="544"/>
      <c r="N96" s="543"/>
      <c r="O96" s="544"/>
      <c r="P96" s="544"/>
      <c r="Q96" s="544"/>
      <c r="R96" s="544"/>
      <c r="S96" s="544"/>
    </row>
    <row r="97" ht="14.25" customHeight="1">
      <c r="A97" s="542"/>
      <c r="B97" s="543"/>
      <c r="C97" s="543"/>
      <c r="D97" s="544"/>
      <c r="E97" s="544"/>
      <c r="F97" s="544"/>
      <c r="G97" s="544"/>
      <c r="H97" s="544"/>
      <c r="I97" s="543"/>
      <c r="J97" s="543"/>
      <c r="K97" s="544"/>
      <c r="L97" s="543"/>
      <c r="M97" s="544"/>
      <c r="N97" s="543"/>
      <c r="O97" s="544"/>
      <c r="P97" s="544"/>
      <c r="Q97" s="544"/>
      <c r="R97" s="544"/>
      <c r="S97" s="544"/>
    </row>
    <row r="98" ht="14.25" customHeight="1">
      <c r="A98" s="542"/>
      <c r="B98" s="543"/>
      <c r="C98" s="543"/>
      <c r="D98" s="544"/>
      <c r="E98" s="544"/>
      <c r="F98" s="544"/>
      <c r="G98" s="544"/>
      <c r="H98" s="544"/>
      <c r="I98" s="543"/>
      <c r="J98" s="543"/>
      <c r="K98" s="544"/>
      <c r="L98" s="543"/>
      <c r="M98" s="544"/>
      <c r="N98" s="543"/>
      <c r="O98" s="544"/>
      <c r="P98" s="544"/>
      <c r="Q98" s="544"/>
      <c r="R98" s="544"/>
      <c r="S98" s="544"/>
    </row>
    <row r="99" ht="14.25" customHeight="1">
      <c r="A99" s="542"/>
      <c r="B99" s="543"/>
      <c r="C99" s="543"/>
      <c r="D99" s="544"/>
      <c r="E99" s="544"/>
      <c r="F99" s="544"/>
      <c r="G99" s="544"/>
      <c r="H99" s="544"/>
      <c r="I99" s="543"/>
      <c r="J99" s="543"/>
      <c r="K99" s="544"/>
      <c r="L99" s="543"/>
      <c r="M99" s="544"/>
      <c r="N99" s="543"/>
      <c r="O99" s="544"/>
      <c r="P99" s="544"/>
      <c r="Q99" s="544"/>
      <c r="R99" s="544"/>
      <c r="S99" s="544"/>
    </row>
    <row r="100" ht="14.25" customHeight="1">
      <c r="A100" s="542"/>
      <c r="B100" s="543"/>
      <c r="C100" s="543"/>
      <c r="D100" s="544"/>
      <c r="E100" s="544"/>
      <c r="F100" s="544"/>
      <c r="G100" s="544"/>
      <c r="H100" s="544"/>
      <c r="I100" s="543"/>
      <c r="J100" s="543"/>
      <c r="K100" s="544"/>
      <c r="L100" s="543"/>
      <c r="M100" s="544"/>
      <c r="N100" s="543"/>
      <c r="O100" s="544"/>
      <c r="P100" s="544"/>
      <c r="Q100" s="544"/>
      <c r="R100" s="544"/>
      <c r="S100" s="544"/>
    </row>
    <row r="101" ht="14.25" customHeight="1">
      <c r="A101" s="542"/>
      <c r="B101" s="543"/>
      <c r="C101" s="543"/>
      <c r="D101" s="544"/>
      <c r="E101" s="544"/>
      <c r="F101" s="544"/>
      <c r="G101" s="544"/>
      <c r="H101" s="544"/>
      <c r="I101" s="543"/>
      <c r="J101" s="543"/>
      <c r="K101" s="544"/>
      <c r="L101" s="543"/>
      <c r="M101" s="544"/>
      <c r="N101" s="543"/>
      <c r="O101" s="544"/>
      <c r="P101" s="544"/>
      <c r="Q101" s="544"/>
      <c r="R101" s="544"/>
      <c r="S101" s="544"/>
    </row>
    <row r="102" ht="14.25" customHeight="1">
      <c r="A102" s="542"/>
      <c r="B102" s="543"/>
      <c r="C102" s="543"/>
      <c r="D102" s="544"/>
      <c r="E102" s="544"/>
      <c r="F102" s="544"/>
      <c r="G102" s="544"/>
      <c r="H102" s="544"/>
      <c r="I102" s="543"/>
      <c r="J102" s="543"/>
      <c r="K102" s="544"/>
      <c r="L102" s="543"/>
      <c r="M102" s="544"/>
      <c r="N102" s="543"/>
      <c r="O102" s="544"/>
      <c r="P102" s="544"/>
      <c r="Q102" s="544"/>
      <c r="R102" s="544"/>
      <c r="S102" s="544"/>
    </row>
    <row r="103" ht="14.25" customHeight="1">
      <c r="A103" s="542"/>
      <c r="B103" s="543"/>
      <c r="C103" s="543"/>
      <c r="D103" s="544"/>
      <c r="E103" s="544"/>
      <c r="F103" s="544"/>
      <c r="G103" s="544"/>
      <c r="H103" s="544"/>
      <c r="I103" s="543"/>
      <c r="J103" s="543"/>
      <c r="K103" s="544"/>
      <c r="L103" s="543"/>
      <c r="M103" s="544"/>
      <c r="N103" s="543"/>
      <c r="O103" s="544"/>
      <c r="P103" s="544"/>
      <c r="Q103" s="544"/>
      <c r="R103" s="544"/>
      <c r="S103" s="544"/>
    </row>
    <row r="104" ht="14.25" customHeight="1">
      <c r="A104" s="542"/>
      <c r="B104" s="543"/>
      <c r="C104" s="543"/>
      <c r="D104" s="544"/>
      <c r="E104" s="544"/>
      <c r="F104" s="544"/>
      <c r="G104" s="544"/>
      <c r="H104" s="544"/>
      <c r="I104" s="543"/>
      <c r="J104" s="543"/>
      <c r="K104" s="544"/>
      <c r="L104" s="543"/>
      <c r="M104" s="544"/>
      <c r="N104" s="543"/>
      <c r="O104" s="544"/>
      <c r="P104" s="544"/>
      <c r="Q104" s="544"/>
      <c r="R104" s="544"/>
      <c r="S104" s="544"/>
    </row>
    <row r="105" ht="14.25" customHeight="1">
      <c r="A105" s="542"/>
      <c r="B105" s="543"/>
      <c r="C105" s="543"/>
      <c r="D105" s="544"/>
      <c r="E105" s="544"/>
      <c r="F105" s="544"/>
      <c r="G105" s="544"/>
      <c r="H105" s="544"/>
      <c r="I105" s="543"/>
      <c r="J105" s="543"/>
      <c r="K105" s="544"/>
      <c r="L105" s="543"/>
      <c r="M105" s="544"/>
      <c r="N105" s="543"/>
      <c r="O105" s="544"/>
      <c r="P105" s="544"/>
      <c r="Q105" s="544"/>
      <c r="R105" s="544"/>
      <c r="S105" s="544"/>
    </row>
    <row r="106" ht="14.25" customHeight="1">
      <c r="A106" s="542"/>
      <c r="B106" s="543"/>
      <c r="C106" s="543"/>
      <c r="D106" s="544"/>
      <c r="E106" s="544"/>
      <c r="F106" s="544"/>
      <c r="G106" s="544"/>
      <c r="H106" s="544"/>
      <c r="I106" s="543"/>
      <c r="J106" s="543"/>
      <c r="K106" s="544"/>
      <c r="L106" s="543"/>
      <c r="M106" s="544"/>
      <c r="N106" s="543"/>
      <c r="O106" s="544"/>
      <c r="P106" s="544"/>
      <c r="Q106" s="544"/>
      <c r="R106" s="544"/>
      <c r="S106" s="544"/>
    </row>
    <row r="107" ht="14.25" customHeight="1">
      <c r="A107" s="542"/>
      <c r="B107" s="543"/>
      <c r="C107" s="543"/>
      <c r="D107" s="544"/>
      <c r="E107" s="544"/>
      <c r="F107" s="544"/>
      <c r="G107" s="544"/>
      <c r="H107" s="544"/>
      <c r="I107" s="543"/>
      <c r="J107" s="543"/>
      <c r="K107" s="544"/>
      <c r="L107" s="543"/>
      <c r="M107" s="544"/>
      <c r="N107" s="543"/>
      <c r="O107" s="544"/>
      <c r="P107" s="544"/>
      <c r="Q107" s="544"/>
      <c r="R107" s="544"/>
      <c r="S107" s="544"/>
    </row>
    <row r="108" ht="14.25" customHeight="1">
      <c r="A108" s="542"/>
      <c r="B108" s="543"/>
      <c r="C108" s="543"/>
      <c r="D108" s="544"/>
      <c r="E108" s="544"/>
      <c r="F108" s="544"/>
      <c r="G108" s="544"/>
      <c r="H108" s="544"/>
      <c r="I108" s="543"/>
      <c r="J108" s="543"/>
      <c r="K108" s="544"/>
      <c r="L108" s="543"/>
      <c r="M108" s="544"/>
      <c r="N108" s="543"/>
      <c r="O108" s="544"/>
      <c r="P108" s="544"/>
      <c r="Q108" s="544"/>
      <c r="R108" s="544"/>
      <c r="S108" s="544"/>
    </row>
    <row r="109" ht="14.25" customHeight="1">
      <c r="A109" s="542"/>
      <c r="B109" s="543"/>
      <c r="C109" s="543"/>
      <c r="D109" s="544"/>
      <c r="E109" s="544"/>
      <c r="F109" s="544"/>
      <c r="G109" s="544"/>
      <c r="H109" s="544"/>
      <c r="I109" s="543"/>
      <c r="J109" s="543"/>
      <c r="K109" s="544"/>
      <c r="L109" s="543"/>
      <c r="M109" s="544"/>
      <c r="N109" s="543"/>
      <c r="O109" s="544"/>
      <c r="P109" s="544"/>
      <c r="Q109" s="544"/>
      <c r="R109" s="544"/>
      <c r="S109" s="544"/>
    </row>
    <row r="110" ht="14.25" customHeight="1">
      <c r="A110" s="542"/>
      <c r="B110" s="543"/>
      <c r="C110" s="543"/>
      <c r="D110" s="544"/>
      <c r="E110" s="544"/>
      <c r="F110" s="544"/>
      <c r="G110" s="544"/>
      <c r="H110" s="544"/>
      <c r="I110" s="543"/>
      <c r="J110" s="543"/>
      <c r="K110" s="544"/>
      <c r="L110" s="543"/>
      <c r="M110" s="544"/>
      <c r="N110" s="543"/>
      <c r="O110" s="544"/>
      <c r="P110" s="544"/>
      <c r="Q110" s="544"/>
      <c r="R110" s="544"/>
      <c r="S110" s="544"/>
    </row>
    <row r="111" ht="14.25" customHeight="1">
      <c r="A111" s="542"/>
      <c r="B111" s="543"/>
      <c r="C111" s="543"/>
      <c r="D111" s="544"/>
      <c r="E111" s="544"/>
      <c r="F111" s="544"/>
      <c r="G111" s="544"/>
      <c r="H111" s="544"/>
      <c r="I111" s="543"/>
      <c r="J111" s="543"/>
      <c r="K111" s="544"/>
      <c r="L111" s="543"/>
      <c r="M111" s="544"/>
      <c r="N111" s="543"/>
      <c r="O111" s="544"/>
      <c r="P111" s="544"/>
      <c r="Q111" s="544"/>
      <c r="R111" s="544"/>
      <c r="S111" s="544"/>
    </row>
    <row r="112" ht="14.25" customHeight="1">
      <c r="A112" s="542"/>
      <c r="B112" s="543"/>
      <c r="C112" s="543"/>
      <c r="D112" s="544"/>
      <c r="E112" s="544"/>
      <c r="F112" s="544"/>
      <c r="G112" s="544"/>
      <c r="H112" s="544"/>
      <c r="I112" s="543"/>
      <c r="J112" s="543"/>
      <c r="K112" s="544"/>
      <c r="L112" s="543"/>
      <c r="M112" s="544"/>
      <c r="N112" s="543"/>
      <c r="O112" s="544"/>
      <c r="P112" s="544"/>
      <c r="Q112" s="544"/>
      <c r="R112" s="544"/>
      <c r="S112" s="544"/>
    </row>
    <row r="113" ht="14.25" customHeight="1">
      <c r="A113" s="542"/>
      <c r="B113" s="543"/>
      <c r="C113" s="543"/>
      <c r="D113" s="544"/>
      <c r="E113" s="544"/>
      <c r="F113" s="544"/>
      <c r="G113" s="544"/>
      <c r="H113" s="544"/>
      <c r="I113" s="543"/>
      <c r="J113" s="543"/>
      <c r="K113" s="544"/>
      <c r="L113" s="543"/>
      <c r="M113" s="544"/>
      <c r="N113" s="543"/>
      <c r="O113" s="544"/>
      <c r="P113" s="544"/>
      <c r="Q113" s="544"/>
      <c r="R113" s="544"/>
      <c r="S113" s="544"/>
    </row>
    <row r="114" ht="14.25" customHeight="1">
      <c r="A114" s="542"/>
      <c r="B114" s="543"/>
      <c r="C114" s="543"/>
      <c r="D114" s="544"/>
      <c r="E114" s="544"/>
      <c r="F114" s="544"/>
      <c r="G114" s="544"/>
      <c r="H114" s="544"/>
      <c r="I114" s="543"/>
      <c r="J114" s="543"/>
      <c r="K114" s="544"/>
      <c r="L114" s="543"/>
      <c r="M114" s="544"/>
      <c r="N114" s="543"/>
      <c r="O114" s="544"/>
      <c r="P114" s="544"/>
      <c r="Q114" s="544"/>
      <c r="R114" s="544"/>
      <c r="S114" s="544"/>
    </row>
    <row r="115" ht="14.25" customHeight="1">
      <c r="A115" s="542"/>
      <c r="B115" s="543"/>
      <c r="C115" s="543"/>
      <c r="D115" s="544"/>
      <c r="E115" s="544"/>
      <c r="F115" s="544"/>
      <c r="G115" s="544"/>
      <c r="H115" s="544"/>
      <c r="I115" s="543"/>
      <c r="J115" s="543"/>
      <c r="K115" s="544"/>
      <c r="L115" s="543"/>
      <c r="M115" s="544"/>
      <c r="N115" s="543"/>
      <c r="O115" s="544"/>
      <c r="P115" s="544"/>
      <c r="Q115" s="544"/>
      <c r="R115" s="544"/>
      <c r="S115" s="544"/>
    </row>
    <row r="116" ht="14.25" customHeight="1">
      <c r="A116" s="542"/>
      <c r="B116" s="543"/>
      <c r="C116" s="543"/>
      <c r="D116" s="544"/>
      <c r="E116" s="544"/>
      <c r="F116" s="544"/>
      <c r="G116" s="544"/>
      <c r="H116" s="544"/>
      <c r="I116" s="543"/>
      <c r="J116" s="543"/>
      <c r="K116" s="544"/>
      <c r="L116" s="543"/>
      <c r="M116" s="544"/>
      <c r="N116" s="543"/>
      <c r="O116" s="544"/>
      <c r="P116" s="544"/>
      <c r="Q116" s="544"/>
      <c r="R116" s="544"/>
      <c r="S116" s="544"/>
    </row>
    <row r="117" ht="14.25" customHeight="1">
      <c r="A117" s="542"/>
      <c r="B117" s="543"/>
      <c r="C117" s="543"/>
      <c r="D117" s="544"/>
      <c r="E117" s="544"/>
      <c r="F117" s="544"/>
      <c r="G117" s="544"/>
      <c r="H117" s="544"/>
      <c r="I117" s="543"/>
      <c r="J117" s="543"/>
      <c r="K117" s="544"/>
      <c r="L117" s="543"/>
      <c r="M117" s="544"/>
      <c r="N117" s="543"/>
      <c r="O117" s="544"/>
      <c r="P117" s="544"/>
      <c r="Q117" s="544"/>
      <c r="R117" s="544"/>
      <c r="S117" s="544"/>
    </row>
    <row r="118" ht="14.25" customHeight="1">
      <c r="A118" s="542"/>
      <c r="B118" s="543"/>
      <c r="C118" s="543"/>
      <c r="D118" s="544"/>
      <c r="E118" s="544"/>
      <c r="F118" s="544"/>
      <c r="G118" s="544"/>
      <c r="H118" s="544"/>
      <c r="I118" s="543"/>
      <c r="J118" s="543"/>
      <c r="K118" s="544"/>
      <c r="L118" s="543"/>
      <c r="M118" s="544"/>
      <c r="N118" s="543"/>
      <c r="O118" s="544"/>
      <c r="P118" s="544"/>
      <c r="Q118" s="544"/>
      <c r="R118" s="544"/>
      <c r="S118" s="544"/>
    </row>
    <row r="119" ht="14.25" customHeight="1">
      <c r="A119" s="542"/>
      <c r="B119" s="543"/>
      <c r="C119" s="543"/>
      <c r="D119" s="544"/>
      <c r="E119" s="544"/>
      <c r="F119" s="544"/>
      <c r="G119" s="544"/>
      <c r="H119" s="544"/>
      <c r="I119" s="543"/>
      <c r="J119" s="543"/>
      <c r="K119" s="544"/>
      <c r="L119" s="543"/>
      <c r="M119" s="544"/>
      <c r="N119" s="543"/>
      <c r="O119" s="544"/>
      <c r="P119" s="544"/>
      <c r="Q119" s="544"/>
      <c r="R119" s="544"/>
      <c r="S119" s="544"/>
    </row>
    <row r="120" ht="14.25" customHeight="1">
      <c r="A120" s="542"/>
      <c r="B120" s="543"/>
      <c r="C120" s="543"/>
      <c r="D120" s="544"/>
      <c r="E120" s="544"/>
      <c r="F120" s="544"/>
      <c r="G120" s="544"/>
      <c r="H120" s="544"/>
      <c r="I120" s="543"/>
      <c r="J120" s="543"/>
      <c r="K120" s="544"/>
      <c r="L120" s="543"/>
      <c r="M120" s="544"/>
      <c r="N120" s="543"/>
      <c r="O120" s="544"/>
      <c r="P120" s="544"/>
      <c r="Q120" s="544"/>
      <c r="R120" s="544"/>
      <c r="S120" s="544"/>
    </row>
    <row r="121" ht="14.25" customHeight="1">
      <c r="A121" s="542"/>
      <c r="B121" s="543"/>
      <c r="C121" s="543"/>
      <c r="D121" s="544"/>
      <c r="E121" s="544"/>
      <c r="F121" s="544"/>
      <c r="G121" s="544"/>
      <c r="H121" s="544"/>
      <c r="I121" s="543"/>
      <c r="J121" s="543"/>
      <c r="K121" s="544"/>
      <c r="L121" s="543"/>
      <c r="M121" s="544"/>
      <c r="N121" s="543"/>
      <c r="O121" s="544"/>
      <c r="P121" s="544"/>
      <c r="Q121" s="544"/>
      <c r="R121" s="544"/>
      <c r="S121" s="544"/>
    </row>
    <row r="122" ht="14.25" customHeight="1">
      <c r="A122" s="542"/>
      <c r="B122" s="543"/>
      <c r="C122" s="543"/>
      <c r="D122" s="544"/>
      <c r="E122" s="544"/>
      <c r="F122" s="544"/>
      <c r="G122" s="544"/>
      <c r="H122" s="544"/>
      <c r="I122" s="543"/>
      <c r="J122" s="543"/>
      <c r="K122" s="544"/>
      <c r="L122" s="543"/>
      <c r="M122" s="544"/>
      <c r="N122" s="543"/>
      <c r="O122" s="544"/>
      <c r="P122" s="544"/>
      <c r="Q122" s="544"/>
      <c r="R122" s="544"/>
      <c r="S122" s="544"/>
    </row>
    <row r="123" ht="14.25" customHeight="1">
      <c r="A123" s="542"/>
      <c r="B123" s="543"/>
      <c r="C123" s="543"/>
      <c r="D123" s="544"/>
      <c r="E123" s="544"/>
      <c r="F123" s="544"/>
      <c r="G123" s="544"/>
      <c r="H123" s="544"/>
      <c r="I123" s="543"/>
      <c r="J123" s="543"/>
      <c r="K123" s="544"/>
      <c r="L123" s="543"/>
      <c r="M123" s="544"/>
      <c r="N123" s="543"/>
      <c r="O123" s="544"/>
      <c r="P123" s="544"/>
      <c r="Q123" s="544"/>
      <c r="R123" s="544"/>
      <c r="S123" s="544"/>
    </row>
    <row r="124" ht="14.25" customHeight="1">
      <c r="A124" s="542"/>
      <c r="B124" s="543"/>
      <c r="C124" s="543"/>
      <c r="D124" s="544"/>
      <c r="E124" s="544"/>
      <c r="F124" s="544"/>
      <c r="G124" s="544"/>
      <c r="H124" s="544"/>
      <c r="I124" s="543"/>
      <c r="J124" s="543"/>
      <c r="K124" s="544"/>
      <c r="L124" s="543"/>
      <c r="M124" s="544"/>
      <c r="N124" s="543"/>
      <c r="O124" s="544"/>
      <c r="P124" s="544"/>
      <c r="Q124" s="544"/>
      <c r="R124" s="544"/>
      <c r="S124" s="544"/>
    </row>
    <row r="125" ht="14.25" customHeight="1">
      <c r="A125" s="542"/>
      <c r="B125" s="543"/>
      <c r="C125" s="543"/>
      <c r="D125" s="544"/>
      <c r="E125" s="544"/>
      <c r="F125" s="544"/>
      <c r="G125" s="544"/>
      <c r="H125" s="544"/>
      <c r="I125" s="543"/>
      <c r="J125" s="543"/>
      <c r="K125" s="544"/>
      <c r="L125" s="543"/>
      <c r="M125" s="544"/>
      <c r="N125" s="543"/>
      <c r="O125" s="544"/>
      <c r="P125" s="544"/>
      <c r="Q125" s="544"/>
      <c r="R125" s="544"/>
      <c r="S125" s="544"/>
    </row>
    <row r="126" ht="14.25" customHeight="1">
      <c r="A126" s="542"/>
      <c r="B126" s="543"/>
      <c r="C126" s="543"/>
      <c r="D126" s="544"/>
      <c r="E126" s="544"/>
      <c r="F126" s="544"/>
      <c r="G126" s="544"/>
      <c r="H126" s="544"/>
      <c r="I126" s="543"/>
      <c r="J126" s="543"/>
      <c r="K126" s="544"/>
      <c r="L126" s="543"/>
      <c r="M126" s="544"/>
      <c r="N126" s="543"/>
      <c r="O126" s="544"/>
      <c r="P126" s="544"/>
      <c r="Q126" s="544"/>
      <c r="R126" s="544"/>
      <c r="S126" s="544"/>
    </row>
    <row r="127" ht="14.25" customHeight="1">
      <c r="A127" s="542"/>
      <c r="B127" s="543"/>
      <c r="C127" s="543"/>
      <c r="D127" s="544"/>
      <c r="E127" s="544"/>
      <c r="F127" s="544"/>
      <c r="G127" s="544"/>
      <c r="H127" s="544"/>
      <c r="I127" s="543"/>
      <c r="J127" s="543"/>
      <c r="K127" s="544"/>
      <c r="L127" s="543"/>
      <c r="M127" s="544"/>
      <c r="N127" s="543"/>
      <c r="O127" s="544"/>
      <c r="P127" s="544"/>
      <c r="Q127" s="544"/>
      <c r="R127" s="544"/>
      <c r="S127" s="544"/>
    </row>
    <row r="128" ht="14.25" customHeight="1">
      <c r="A128" s="542"/>
      <c r="B128" s="543"/>
      <c r="C128" s="543"/>
      <c r="D128" s="544"/>
      <c r="E128" s="544"/>
      <c r="F128" s="544"/>
      <c r="G128" s="544"/>
      <c r="H128" s="544"/>
      <c r="I128" s="543"/>
      <c r="J128" s="543"/>
      <c r="K128" s="544"/>
      <c r="L128" s="543"/>
      <c r="M128" s="544"/>
      <c r="N128" s="543"/>
      <c r="O128" s="544"/>
      <c r="P128" s="544"/>
      <c r="Q128" s="544"/>
      <c r="R128" s="544"/>
      <c r="S128" s="544"/>
    </row>
    <row r="129" ht="14.25" customHeight="1">
      <c r="A129" s="542"/>
      <c r="B129" s="543"/>
      <c r="C129" s="543"/>
      <c r="D129" s="544"/>
      <c r="E129" s="544"/>
      <c r="F129" s="544"/>
      <c r="G129" s="544"/>
      <c r="H129" s="544"/>
      <c r="I129" s="543"/>
      <c r="J129" s="543"/>
      <c r="K129" s="544"/>
      <c r="L129" s="543"/>
      <c r="M129" s="544"/>
      <c r="N129" s="543"/>
      <c r="O129" s="544"/>
      <c r="P129" s="544"/>
      <c r="Q129" s="544"/>
      <c r="R129" s="544"/>
      <c r="S129" s="544"/>
    </row>
    <row r="130" ht="14.25" customHeight="1">
      <c r="A130" s="542"/>
      <c r="B130" s="543"/>
      <c r="C130" s="543"/>
      <c r="D130" s="544"/>
      <c r="E130" s="544"/>
      <c r="F130" s="544"/>
      <c r="G130" s="544"/>
      <c r="H130" s="544"/>
      <c r="I130" s="543"/>
      <c r="J130" s="543"/>
      <c r="K130" s="544"/>
      <c r="L130" s="543"/>
      <c r="M130" s="544"/>
      <c r="N130" s="543"/>
      <c r="O130" s="544"/>
      <c r="P130" s="544"/>
      <c r="Q130" s="544"/>
      <c r="R130" s="544"/>
      <c r="S130" s="544"/>
    </row>
    <row r="131" ht="14.25" customHeight="1">
      <c r="A131" s="542"/>
      <c r="B131" s="543"/>
      <c r="C131" s="543"/>
      <c r="D131" s="544"/>
      <c r="E131" s="544"/>
      <c r="F131" s="544"/>
      <c r="G131" s="544"/>
      <c r="H131" s="544"/>
      <c r="I131" s="543"/>
      <c r="J131" s="543"/>
      <c r="K131" s="544"/>
      <c r="L131" s="543"/>
      <c r="M131" s="544"/>
      <c r="N131" s="543"/>
      <c r="O131" s="544"/>
      <c r="P131" s="544"/>
      <c r="Q131" s="544"/>
      <c r="R131" s="544"/>
      <c r="S131" s="544"/>
    </row>
    <row r="132" ht="14.25" customHeight="1">
      <c r="A132" s="542"/>
      <c r="B132" s="543"/>
      <c r="C132" s="543"/>
      <c r="D132" s="544"/>
      <c r="E132" s="544"/>
      <c r="F132" s="544"/>
      <c r="G132" s="544"/>
      <c r="H132" s="544"/>
      <c r="I132" s="543"/>
      <c r="J132" s="543"/>
      <c r="K132" s="544"/>
      <c r="L132" s="543"/>
      <c r="M132" s="544"/>
      <c r="N132" s="543"/>
      <c r="O132" s="544"/>
      <c r="P132" s="544"/>
      <c r="Q132" s="544"/>
      <c r="R132" s="544"/>
      <c r="S132" s="544"/>
    </row>
    <row r="133" ht="14.25" customHeight="1">
      <c r="A133" s="542"/>
      <c r="B133" s="543"/>
      <c r="C133" s="543"/>
      <c r="D133" s="544"/>
      <c r="E133" s="544"/>
      <c r="F133" s="544"/>
      <c r="G133" s="544"/>
      <c r="H133" s="544"/>
      <c r="I133" s="543"/>
      <c r="J133" s="543"/>
      <c r="K133" s="544"/>
      <c r="L133" s="543"/>
      <c r="M133" s="544"/>
      <c r="N133" s="543"/>
      <c r="O133" s="544"/>
      <c r="P133" s="544"/>
      <c r="Q133" s="544"/>
      <c r="R133" s="544"/>
      <c r="S133" s="544"/>
    </row>
    <row r="134" ht="14.25" customHeight="1">
      <c r="A134" s="542"/>
      <c r="B134" s="543"/>
      <c r="C134" s="543"/>
      <c r="D134" s="544"/>
      <c r="E134" s="544"/>
      <c r="F134" s="544"/>
      <c r="G134" s="544"/>
      <c r="H134" s="544"/>
      <c r="I134" s="543"/>
      <c r="J134" s="543"/>
      <c r="K134" s="544"/>
      <c r="L134" s="543"/>
      <c r="M134" s="544"/>
      <c r="N134" s="543"/>
      <c r="O134" s="544"/>
      <c r="P134" s="544"/>
      <c r="Q134" s="544"/>
      <c r="R134" s="544"/>
      <c r="S134" s="544"/>
    </row>
    <row r="135" ht="14.25" customHeight="1">
      <c r="A135" s="542"/>
      <c r="B135" s="543"/>
      <c r="C135" s="543"/>
      <c r="D135" s="544"/>
      <c r="E135" s="544"/>
      <c r="F135" s="544"/>
      <c r="G135" s="544"/>
      <c r="H135" s="544"/>
      <c r="I135" s="543"/>
      <c r="J135" s="543"/>
      <c r="K135" s="544"/>
      <c r="L135" s="543"/>
      <c r="M135" s="544"/>
      <c r="N135" s="543"/>
      <c r="O135" s="544"/>
      <c r="P135" s="544"/>
      <c r="Q135" s="544"/>
      <c r="R135" s="544"/>
      <c r="S135" s="544"/>
    </row>
    <row r="136" ht="14.25" customHeight="1">
      <c r="A136" s="542"/>
      <c r="B136" s="543"/>
      <c r="C136" s="543"/>
      <c r="D136" s="544"/>
      <c r="E136" s="544"/>
      <c r="F136" s="544"/>
      <c r="G136" s="544"/>
      <c r="H136" s="544"/>
      <c r="I136" s="543"/>
      <c r="J136" s="543"/>
      <c r="K136" s="544"/>
      <c r="L136" s="543"/>
      <c r="M136" s="544"/>
      <c r="N136" s="543"/>
      <c r="O136" s="544"/>
      <c r="P136" s="544"/>
      <c r="Q136" s="544"/>
      <c r="R136" s="544"/>
      <c r="S136" s="544"/>
    </row>
    <row r="137" ht="14.25" customHeight="1">
      <c r="A137" s="542"/>
      <c r="B137" s="543"/>
      <c r="C137" s="543"/>
      <c r="D137" s="544"/>
      <c r="E137" s="544"/>
      <c r="F137" s="544"/>
      <c r="G137" s="544"/>
      <c r="H137" s="544"/>
      <c r="I137" s="543"/>
      <c r="J137" s="543"/>
      <c r="K137" s="544"/>
      <c r="L137" s="543"/>
      <c r="M137" s="544"/>
      <c r="N137" s="543"/>
      <c r="O137" s="544"/>
      <c r="P137" s="544"/>
      <c r="Q137" s="544"/>
      <c r="R137" s="544"/>
      <c r="S137" s="544"/>
    </row>
    <row r="138" ht="14.25" customHeight="1">
      <c r="A138" s="542"/>
      <c r="B138" s="543"/>
      <c r="C138" s="543"/>
      <c r="D138" s="544"/>
      <c r="E138" s="544"/>
      <c r="F138" s="544"/>
      <c r="G138" s="544"/>
      <c r="H138" s="544"/>
      <c r="I138" s="543"/>
      <c r="J138" s="543"/>
      <c r="K138" s="544"/>
      <c r="L138" s="543"/>
      <c r="M138" s="544"/>
      <c r="N138" s="543"/>
      <c r="O138" s="544"/>
      <c r="P138" s="544"/>
      <c r="Q138" s="544"/>
      <c r="R138" s="544"/>
      <c r="S138" s="544"/>
    </row>
    <row r="139" ht="14.25" customHeight="1">
      <c r="A139" s="542"/>
      <c r="B139" s="543"/>
      <c r="C139" s="543"/>
      <c r="D139" s="544"/>
      <c r="E139" s="544"/>
      <c r="F139" s="544"/>
      <c r="G139" s="544"/>
      <c r="H139" s="544"/>
      <c r="I139" s="543"/>
      <c r="J139" s="543"/>
      <c r="K139" s="544"/>
      <c r="L139" s="543"/>
      <c r="M139" s="544"/>
      <c r="N139" s="543"/>
      <c r="O139" s="544"/>
      <c r="P139" s="544"/>
      <c r="Q139" s="544"/>
      <c r="R139" s="544"/>
      <c r="S139" s="544"/>
    </row>
    <row r="140" ht="14.25" customHeight="1">
      <c r="A140" s="542"/>
      <c r="B140" s="543"/>
      <c r="C140" s="543"/>
      <c r="D140" s="544"/>
      <c r="E140" s="544"/>
      <c r="F140" s="544"/>
      <c r="G140" s="544"/>
      <c r="H140" s="544"/>
      <c r="I140" s="543"/>
      <c r="J140" s="543"/>
      <c r="K140" s="544"/>
      <c r="L140" s="543"/>
      <c r="M140" s="544"/>
      <c r="N140" s="543"/>
      <c r="O140" s="544"/>
      <c r="P140" s="544"/>
      <c r="Q140" s="544"/>
      <c r="R140" s="544"/>
      <c r="S140" s="544"/>
    </row>
    <row r="141" ht="14.25" customHeight="1">
      <c r="A141" s="542"/>
      <c r="B141" s="543"/>
      <c r="C141" s="543"/>
      <c r="D141" s="544"/>
      <c r="E141" s="544"/>
      <c r="F141" s="544"/>
      <c r="G141" s="544"/>
      <c r="H141" s="544"/>
      <c r="I141" s="543"/>
      <c r="J141" s="543"/>
      <c r="K141" s="544"/>
      <c r="L141" s="543"/>
      <c r="M141" s="544"/>
      <c r="N141" s="543"/>
      <c r="O141" s="544"/>
      <c r="P141" s="544"/>
      <c r="Q141" s="544"/>
      <c r="R141" s="544"/>
      <c r="S141" s="544"/>
    </row>
    <row r="142" ht="14.25" customHeight="1">
      <c r="A142" s="542"/>
      <c r="B142" s="543"/>
      <c r="C142" s="543"/>
      <c r="D142" s="544"/>
      <c r="E142" s="544"/>
      <c r="F142" s="544"/>
      <c r="G142" s="544"/>
      <c r="H142" s="544"/>
      <c r="I142" s="543"/>
      <c r="J142" s="543"/>
      <c r="K142" s="544"/>
      <c r="L142" s="543"/>
      <c r="M142" s="544"/>
      <c r="N142" s="543"/>
      <c r="O142" s="544"/>
      <c r="P142" s="544"/>
      <c r="Q142" s="544"/>
      <c r="R142" s="544"/>
      <c r="S142" s="544"/>
    </row>
    <row r="143" ht="14.25" customHeight="1">
      <c r="A143" s="542"/>
      <c r="B143" s="543"/>
      <c r="C143" s="543"/>
      <c r="D143" s="544"/>
      <c r="E143" s="544"/>
      <c r="F143" s="544"/>
      <c r="G143" s="544"/>
      <c r="H143" s="544"/>
      <c r="I143" s="543"/>
      <c r="J143" s="543"/>
      <c r="K143" s="544"/>
      <c r="L143" s="543"/>
      <c r="M143" s="544"/>
      <c r="N143" s="543"/>
      <c r="O143" s="544"/>
      <c r="P143" s="544"/>
      <c r="Q143" s="544"/>
      <c r="R143" s="544"/>
      <c r="S143" s="544"/>
    </row>
    <row r="144" ht="14.25" customHeight="1">
      <c r="A144" s="542"/>
      <c r="B144" s="543"/>
      <c r="C144" s="543"/>
      <c r="D144" s="544"/>
      <c r="E144" s="544"/>
      <c r="F144" s="544"/>
      <c r="G144" s="544"/>
      <c r="H144" s="544"/>
      <c r="I144" s="543"/>
      <c r="J144" s="543"/>
      <c r="K144" s="544"/>
      <c r="L144" s="543"/>
      <c r="M144" s="544"/>
      <c r="N144" s="543"/>
      <c r="O144" s="544"/>
      <c r="P144" s="544"/>
      <c r="Q144" s="544"/>
      <c r="R144" s="544"/>
      <c r="S144" s="544"/>
    </row>
    <row r="145" ht="14.25" customHeight="1">
      <c r="A145" s="542"/>
      <c r="B145" s="543"/>
      <c r="C145" s="543"/>
      <c r="D145" s="544"/>
      <c r="E145" s="544"/>
      <c r="F145" s="544"/>
      <c r="G145" s="544"/>
      <c r="H145" s="544"/>
      <c r="I145" s="543"/>
      <c r="J145" s="543"/>
      <c r="K145" s="544"/>
      <c r="L145" s="543"/>
      <c r="M145" s="544"/>
      <c r="N145" s="543"/>
      <c r="O145" s="544"/>
      <c r="P145" s="544"/>
      <c r="Q145" s="544"/>
      <c r="R145" s="544"/>
      <c r="S145" s="544"/>
    </row>
    <row r="146" ht="14.25" customHeight="1">
      <c r="A146" s="542"/>
      <c r="B146" s="543"/>
      <c r="C146" s="543"/>
      <c r="D146" s="544"/>
      <c r="E146" s="544"/>
      <c r="F146" s="544"/>
      <c r="G146" s="544"/>
      <c r="H146" s="544"/>
      <c r="I146" s="543"/>
      <c r="J146" s="543"/>
      <c r="K146" s="544"/>
      <c r="L146" s="543"/>
      <c r="M146" s="544"/>
      <c r="N146" s="543"/>
      <c r="O146" s="544"/>
      <c r="P146" s="544"/>
      <c r="Q146" s="544"/>
      <c r="R146" s="544"/>
      <c r="S146" s="544"/>
    </row>
    <row r="147" ht="14.25" customHeight="1">
      <c r="A147" s="542"/>
      <c r="B147" s="543"/>
      <c r="C147" s="543"/>
      <c r="D147" s="544"/>
      <c r="E147" s="544"/>
      <c r="F147" s="544"/>
      <c r="G147" s="544"/>
      <c r="H147" s="544"/>
      <c r="I147" s="543"/>
      <c r="J147" s="543"/>
      <c r="K147" s="544"/>
      <c r="L147" s="543"/>
      <c r="M147" s="544"/>
      <c r="N147" s="543"/>
      <c r="O147" s="544"/>
      <c r="P147" s="544"/>
      <c r="Q147" s="544"/>
      <c r="R147" s="544"/>
      <c r="S147" s="544"/>
    </row>
    <row r="148" ht="14.25" customHeight="1">
      <c r="A148" s="542"/>
      <c r="B148" s="543"/>
      <c r="C148" s="543"/>
      <c r="D148" s="544"/>
      <c r="E148" s="544"/>
      <c r="F148" s="544"/>
      <c r="G148" s="544"/>
      <c r="H148" s="544"/>
      <c r="I148" s="543"/>
      <c r="J148" s="543"/>
      <c r="K148" s="544"/>
      <c r="L148" s="543"/>
      <c r="M148" s="544"/>
      <c r="N148" s="543"/>
      <c r="O148" s="544"/>
      <c r="P148" s="544"/>
      <c r="Q148" s="544"/>
      <c r="R148" s="544"/>
      <c r="S148" s="544"/>
    </row>
    <row r="149" ht="14.25" customHeight="1">
      <c r="A149" s="542"/>
      <c r="B149" s="543"/>
      <c r="C149" s="543"/>
      <c r="D149" s="544"/>
      <c r="E149" s="544"/>
      <c r="F149" s="544"/>
      <c r="G149" s="544"/>
      <c r="H149" s="544"/>
      <c r="I149" s="543"/>
      <c r="J149" s="543"/>
      <c r="K149" s="544"/>
      <c r="L149" s="543"/>
      <c r="M149" s="544"/>
      <c r="N149" s="543"/>
      <c r="O149" s="544"/>
      <c r="P149" s="544"/>
      <c r="Q149" s="544"/>
      <c r="R149" s="544"/>
      <c r="S149" s="544"/>
    </row>
    <row r="150" ht="14.25" customHeight="1">
      <c r="A150" s="542"/>
      <c r="B150" s="543"/>
      <c r="C150" s="543"/>
      <c r="D150" s="544"/>
      <c r="E150" s="544"/>
      <c r="F150" s="544"/>
      <c r="G150" s="544"/>
      <c r="H150" s="544"/>
      <c r="I150" s="543"/>
      <c r="J150" s="543"/>
      <c r="K150" s="544"/>
      <c r="L150" s="543"/>
      <c r="M150" s="544"/>
      <c r="N150" s="543"/>
      <c r="O150" s="544"/>
      <c r="P150" s="544"/>
      <c r="Q150" s="544"/>
      <c r="R150" s="544"/>
      <c r="S150" s="544"/>
    </row>
    <row r="151" ht="14.25" customHeight="1">
      <c r="A151" s="542"/>
      <c r="B151" s="543"/>
      <c r="C151" s="543"/>
      <c r="D151" s="544"/>
      <c r="E151" s="544"/>
      <c r="F151" s="544"/>
      <c r="G151" s="544"/>
      <c r="H151" s="544"/>
      <c r="I151" s="543"/>
      <c r="J151" s="543"/>
      <c r="K151" s="544"/>
      <c r="L151" s="543"/>
      <c r="M151" s="544"/>
      <c r="N151" s="543"/>
      <c r="O151" s="544"/>
      <c r="P151" s="544"/>
      <c r="Q151" s="544"/>
      <c r="R151" s="544"/>
      <c r="S151" s="544"/>
    </row>
    <row r="152" ht="14.25" customHeight="1">
      <c r="A152" s="542"/>
      <c r="B152" s="543"/>
      <c r="C152" s="543"/>
      <c r="D152" s="544"/>
      <c r="E152" s="544"/>
      <c r="F152" s="544"/>
      <c r="G152" s="544"/>
      <c r="H152" s="544"/>
      <c r="I152" s="543"/>
      <c r="J152" s="543"/>
      <c r="K152" s="544"/>
      <c r="L152" s="543"/>
      <c r="M152" s="544"/>
      <c r="N152" s="543"/>
      <c r="O152" s="544"/>
      <c r="P152" s="544"/>
      <c r="Q152" s="544"/>
      <c r="R152" s="544"/>
      <c r="S152" s="544"/>
    </row>
    <row r="153" ht="14.25" customHeight="1">
      <c r="A153" s="542"/>
      <c r="B153" s="543"/>
      <c r="C153" s="543"/>
      <c r="D153" s="544"/>
      <c r="E153" s="544"/>
      <c r="F153" s="544"/>
      <c r="G153" s="544"/>
      <c r="H153" s="544"/>
      <c r="I153" s="543"/>
      <c r="J153" s="543"/>
      <c r="K153" s="544"/>
      <c r="L153" s="543"/>
      <c r="M153" s="544"/>
      <c r="N153" s="543"/>
      <c r="O153" s="544"/>
      <c r="P153" s="544"/>
      <c r="Q153" s="544"/>
      <c r="R153" s="544"/>
      <c r="S153" s="544"/>
    </row>
    <row r="154" ht="14.25" customHeight="1">
      <c r="A154" s="542"/>
      <c r="B154" s="543"/>
      <c r="C154" s="543"/>
      <c r="D154" s="544"/>
      <c r="E154" s="544"/>
      <c r="F154" s="544"/>
      <c r="G154" s="544"/>
      <c r="H154" s="544"/>
      <c r="I154" s="543"/>
      <c r="J154" s="543"/>
      <c r="K154" s="544"/>
      <c r="L154" s="543"/>
      <c r="M154" s="544"/>
      <c r="N154" s="543"/>
      <c r="O154" s="544"/>
      <c r="P154" s="544"/>
      <c r="Q154" s="544"/>
      <c r="R154" s="544"/>
      <c r="S154" s="544"/>
    </row>
    <row r="155" ht="14.25" customHeight="1">
      <c r="A155" s="542"/>
      <c r="B155" s="543"/>
      <c r="C155" s="543"/>
      <c r="D155" s="544"/>
      <c r="E155" s="544"/>
      <c r="F155" s="544"/>
      <c r="G155" s="544"/>
      <c r="H155" s="544"/>
      <c r="I155" s="543"/>
      <c r="J155" s="543"/>
      <c r="K155" s="544"/>
      <c r="L155" s="543"/>
      <c r="M155" s="544"/>
      <c r="N155" s="543"/>
      <c r="O155" s="544"/>
      <c r="P155" s="544"/>
      <c r="Q155" s="544"/>
      <c r="R155" s="544"/>
      <c r="S155" s="544"/>
    </row>
    <row r="156" ht="14.25" customHeight="1">
      <c r="A156" s="542"/>
      <c r="B156" s="543"/>
      <c r="C156" s="543"/>
      <c r="D156" s="544"/>
      <c r="E156" s="544"/>
      <c r="F156" s="544"/>
      <c r="G156" s="544"/>
      <c r="H156" s="544"/>
      <c r="I156" s="543"/>
      <c r="J156" s="543"/>
      <c r="K156" s="544"/>
      <c r="L156" s="543"/>
      <c r="M156" s="544"/>
      <c r="N156" s="543"/>
      <c r="O156" s="544"/>
      <c r="P156" s="544"/>
      <c r="Q156" s="544"/>
      <c r="R156" s="544"/>
      <c r="S156" s="544"/>
    </row>
    <row r="157" ht="14.25" customHeight="1">
      <c r="A157" s="542"/>
      <c r="B157" s="543"/>
      <c r="C157" s="543"/>
      <c r="D157" s="544"/>
      <c r="E157" s="544"/>
      <c r="F157" s="544"/>
      <c r="G157" s="544"/>
      <c r="H157" s="544"/>
      <c r="I157" s="543"/>
      <c r="J157" s="543"/>
      <c r="K157" s="544"/>
      <c r="L157" s="543"/>
      <c r="M157" s="544"/>
      <c r="N157" s="543"/>
      <c r="O157" s="544"/>
      <c r="P157" s="544"/>
      <c r="Q157" s="544"/>
      <c r="R157" s="544"/>
      <c r="S157" s="544"/>
    </row>
    <row r="158" ht="14.25" customHeight="1">
      <c r="A158" s="542"/>
      <c r="B158" s="543"/>
      <c r="C158" s="543"/>
      <c r="D158" s="544"/>
      <c r="E158" s="544"/>
      <c r="F158" s="544"/>
      <c r="G158" s="544"/>
      <c r="H158" s="544"/>
      <c r="I158" s="543"/>
      <c r="J158" s="543"/>
      <c r="K158" s="544"/>
      <c r="L158" s="543"/>
      <c r="M158" s="544"/>
      <c r="N158" s="543"/>
      <c r="O158" s="544"/>
      <c r="P158" s="544"/>
      <c r="Q158" s="544"/>
      <c r="R158" s="544"/>
      <c r="S158" s="544"/>
    </row>
    <row r="159" ht="14.25" customHeight="1">
      <c r="A159" s="542"/>
      <c r="B159" s="543"/>
      <c r="C159" s="543"/>
      <c r="D159" s="544"/>
      <c r="E159" s="544"/>
      <c r="F159" s="544"/>
      <c r="G159" s="544"/>
      <c r="H159" s="544"/>
      <c r="I159" s="543"/>
      <c r="J159" s="543"/>
      <c r="K159" s="544"/>
      <c r="L159" s="543"/>
      <c r="M159" s="544"/>
      <c r="N159" s="543"/>
      <c r="O159" s="544"/>
      <c r="P159" s="544"/>
      <c r="Q159" s="544"/>
      <c r="R159" s="544"/>
      <c r="S159" s="544"/>
    </row>
    <row r="160" ht="14.25" customHeight="1">
      <c r="A160" s="542"/>
      <c r="B160" s="543"/>
      <c r="C160" s="543"/>
      <c r="D160" s="544"/>
      <c r="E160" s="544"/>
      <c r="F160" s="544"/>
      <c r="G160" s="544"/>
      <c r="H160" s="544"/>
      <c r="I160" s="543"/>
      <c r="J160" s="543"/>
      <c r="K160" s="544"/>
      <c r="L160" s="543"/>
      <c r="M160" s="544"/>
      <c r="N160" s="543"/>
      <c r="O160" s="544"/>
      <c r="P160" s="544"/>
      <c r="Q160" s="544"/>
      <c r="R160" s="544"/>
      <c r="S160" s="544"/>
    </row>
    <row r="161" ht="14.25" customHeight="1">
      <c r="A161" s="542"/>
      <c r="B161" s="543"/>
      <c r="C161" s="543"/>
      <c r="D161" s="544"/>
      <c r="E161" s="544"/>
      <c r="F161" s="544"/>
      <c r="G161" s="544"/>
      <c r="H161" s="544"/>
      <c r="I161" s="543"/>
      <c r="J161" s="543"/>
      <c r="K161" s="544"/>
      <c r="L161" s="543"/>
      <c r="M161" s="544"/>
      <c r="N161" s="543"/>
      <c r="O161" s="544"/>
      <c r="P161" s="544"/>
      <c r="Q161" s="544"/>
      <c r="R161" s="544"/>
      <c r="S161" s="544"/>
    </row>
    <row r="162" ht="14.25" customHeight="1">
      <c r="A162" s="542"/>
      <c r="B162" s="543"/>
      <c r="C162" s="543"/>
      <c r="D162" s="544"/>
      <c r="E162" s="544"/>
      <c r="F162" s="544"/>
      <c r="G162" s="544"/>
      <c r="H162" s="544"/>
      <c r="I162" s="543"/>
      <c r="J162" s="543"/>
      <c r="K162" s="544"/>
      <c r="L162" s="543"/>
      <c r="M162" s="544"/>
      <c r="N162" s="543"/>
      <c r="O162" s="544"/>
      <c r="P162" s="544"/>
      <c r="Q162" s="544"/>
      <c r="R162" s="544"/>
      <c r="S162" s="544"/>
    </row>
    <row r="163" ht="14.25" customHeight="1">
      <c r="A163" s="542"/>
      <c r="B163" s="543"/>
      <c r="C163" s="543"/>
      <c r="D163" s="544"/>
      <c r="E163" s="544"/>
      <c r="F163" s="544"/>
      <c r="G163" s="544"/>
      <c r="H163" s="544"/>
      <c r="I163" s="543"/>
      <c r="J163" s="543"/>
      <c r="K163" s="544"/>
      <c r="L163" s="543"/>
      <c r="M163" s="544"/>
      <c r="N163" s="543"/>
      <c r="O163" s="544"/>
      <c r="P163" s="544"/>
      <c r="Q163" s="544"/>
      <c r="R163" s="544"/>
      <c r="S163" s="544"/>
    </row>
    <row r="164" ht="14.25" customHeight="1">
      <c r="A164" s="542"/>
      <c r="B164" s="543"/>
      <c r="C164" s="543"/>
      <c r="D164" s="544"/>
      <c r="E164" s="544"/>
      <c r="F164" s="544"/>
      <c r="G164" s="544"/>
      <c r="H164" s="544"/>
      <c r="I164" s="543"/>
      <c r="J164" s="543"/>
      <c r="K164" s="544"/>
      <c r="L164" s="543"/>
      <c r="M164" s="544"/>
      <c r="N164" s="543"/>
      <c r="O164" s="544"/>
      <c r="P164" s="544"/>
      <c r="Q164" s="544"/>
      <c r="R164" s="544"/>
      <c r="S164" s="544"/>
    </row>
    <row r="165" ht="14.25" customHeight="1">
      <c r="A165" s="542"/>
      <c r="B165" s="543"/>
      <c r="C165" s="543"/>
      <c r="D165" s="544"/>
      <c r="E165" s="544"/>
      <c r="F165" s="544"/>
      <c r="G165" s="544"/>
      <c r="H165" s="544"/>
      <c r="I165" s="543"/>
      <c r="J165" s="543"/>
      <c r="K165" s="544"/>
      <c r="L165" s="543"/>
      <c r="M165" s="544"/>
      <c r="N165" s="543"/>
      <c r="O165" s="544"/>
      <c r="P165" s="544"/>
      <c r="Q165" s="544"/>
      <c r="R165" s="544"/>
      <c r="S165" s="544"/>
    </row>
    <row r="166" ht="14.25" customHeight="1">
      <c r="A166" s="542"/>
      <c r="B166" s="543"/>
      <c r="C166" s="543"/>
      <c r="D166" s="544"/>
      <c r="E166" s="544"/>
      <c r="F166" s="544"/>
      <c r="G166" s="544"/>
      <c r="H166" s="544"/>
      <c r="I166" s="543"/>
      <c r="J166" s="543"/>
      <c r="K166" s="544"/>
      <c r="L166" s="543"/>
      <c r="M166" s="544"/>
      <c r="N166" s="543"/>
      <c r="O166" s="544"/>
      <c r="P166" s="544"/>
      <c r="Q166" s="544"/>
      <c r="R166" s="544"/>
      <c r="S166" s="544"/>
    </row>
    <row r="167" ht="14.25" customHeight="1">
      <c r="A167" s="542"/>
      <c r="B167" s="543"/>
      <c r="C167" s="543"/>
      <c r="D167" s="544"/>
      <c r="E167" s="544"/>
      <c r="F167" s="544"/>
      <c r="G167" s="544"/>
      <c r="H167" s="544"/>
      <c r="I167" s="543"/>
      <c r="J167" s="543"/>
      <c r="K167" s="544"/>
      <c r="L167" s="543"/>
      <c r="M167" s="544"/>
      <c r="N167" s="543"/>
      <c r="O167" s="544"/>
      <c r="P167" s="544"/>
      <c r="Q167" s="544"/>
      <c r="R167" s="544"/>
      <c r="S167" s="544"/>
    </row>
    <row r="168" ht="14.25" customHeight="1">
      <c r="A168" s="542"/>
      <c r="B168" s="543"/>
      <c r="C168" s="543"/>
      <c r="D168" s="544"/>
      <c r="E168" s="544"/>
      <c r="F168" s="544"/>
      <c r="G168" s="544"/>
      <c r="H168" s="544"/>
      <c r="I168" s="543"/>
      <c r="J168" s="543"/>
      <c r="K168" s="544"/>
      <c r="L168" s="543"/>
      <c r="M168" s="544"/>
      <c r="N168" s="543"/>
      <c r="O168" s="544"/>
      <c r="P168" s="544"/>
      <c r="Q168" s="544"/>
      <c r="R168" s="544"/>
      <c r="S168" s="544"/>
    </row>
    <row r="169" ht="14.25" customHeight="1">
      <c r="A169" s="542"/>
      <c r="B169" s="543"/>
      <c r="C169" s="543"/>
      <c r="D169" s="544"/>
      <c r="E169" s="544"/>
      <c r="F169" s="544"/>
      <c r="G169" s="544"/>
      <c r="H169" s="544"/>
      <c r="I169" s="543"/>
      <c r="J169" s="543"/>
      <c r="K169" s="544"/>
      <c r="L169" s="543"/>
      <c r="M169" s="544"/>
      <c r="N169" s="543"/>
      <c r="O169" s="544"/>
      <c r="P169" s="544"/>
      <c r="Q169" s="544"/>
      <c r="R169" s="544"/>
      <c r="S169" s="544"/>
    </row>
    <row r="170" ht="14.25" customHeight="1">
      <c r="A170" s="542"/>
      <c r="B170" s="543"/>
      <c r="C170" s="543"/>
      <c r="D170" s="544"/>
      <c r="E170" s="544"/>
      <c r="F170" s="544"/>
      <c r="G170" s="544"/>
      <c r="H170" s="544"/>
      <c r="I170" s="543"/>
      <c r="J170" s="543"/>
      <c r="K170" s="544"/>
      <c r="L170" s="543"/>
      <c r="M170" s="544"/>
      <c r="N170" s="543"/>
      <c r="O170" s="544"/>
      <c r="P170" s="544"/>
      <c r="Q170" s="544"/>
      <c r="R170" s="544"/>
      <c r="S170" s="544"/>
    </row>
    <row r="171" ht="14.25" customHeight="1">
      <c r="A171" s="542"/>
      <c r="B171" s="543"/>
      <c r="C171" s="543"/>
      <c r="D171" s="544"/>
      <c r="E171" s="544"/>
      <c r="F171" s="544"/>
      <c r="G171" s="544"/>
      <c r="H171" s="544"/>
      <c r="I171" s="543"/>
      <c r="J171" s="543"/>
      <c r="K171" s="544"/>
      <c r="L171" s="543"/>
      <c r="M171" s="544"/>
      <c r="N171" s="543"/>
      <c r="O171" s="544"/>
      <c r="P171" s="544"/>
      <c r="Q171" s="544"/>
      <c r="R171" s="544"/>
      <c r="S171" s="544"/>
    </row>
    <row r="172" ht="14.25" customHeight="1">
      <c r="A172" s="542"/>
      <c r="B172" s="543"/>
      <c r="C172" s="543"/>
      <c r="D172" s="544"/>
      <c r="E172" s="544"/>
      <c r="F172" s="544"/>
      <c r="G172" s="544"/>
      <c r="H172" s="544"/>
      <c r="I172" s="543"/>
      <c r="J172" s="543"/>
      <c r="K172" s="544"/>
      <c r="L172" s="543"/>
      <c r="M172" s="544"/>
      <c r="N172" s="543"/>
      <c r="O172" s="544"/>
      <c r="P172" s="544"/>
      <c r="Q172" s="544"/>
      <c r="R172" s="544"/>
      <c r="S172" s="544"/>
    </row>
    <row r="173" ht="14.25" customHeight="1">
      <c r="A173" s="542"/>
      <c r="B173" s="543"/>
      <c r="C173" s="543"/>
      <c r="D173" s="544"/>
      <c r="E173" s="544"/>
      <c r="F173" s="544"/>
      <c r="G173" s="544"/>
      <c r="H173" s="544"/>
      <c r="I173" s="543"/>
      <c r="J173" s="543"/>
      <c r="K173" s="544"/>
      <c r="L173" s="543"/>
      <c r="M173" s="544"/>
      <c r="N173" s="543"/>
      <c r="O173" s="544"/>
      <c r="P173" s="544"/>
      <c r="Q173" s="544"/>
      <c r="R173" s="544"/>
      <c r="S173" s="544"/>
    </row>
    <row r="174" ht="14.25" customHeight="1">
      <c r="A174" s="542"/>
      <c r="B174" s="543"/>
      <c r="C174" s="543"/>
      <c r="D174" s="544"/>
      <c r="E174" s="544"/>
      <c r="F174" s="544"/>
      <c r="G174" s="544"/>
      <c r="H174" s="544"/>
      <c r="I174" s="543"/>
      <c r="J174" s="543"/>
      <c r="K174" s="544"/>
      <c r="L174" s="543"/>
      <c r="M174" s="544"/>
      <c r="N174" s="543"/>
      <c r="O174" s="544"/>
      <c r="P174" s="544"/>
      <c r="Q174" s="544"/>
      <c r="R174" s="544"/>
      <c r="S174" s="544"/>
    </row>
    <row r="175" ht="14.25" customHeight="1">
      <c r="A175" s="542"/>
      <c r="B175" s="543"/>
      <c r="C175" s="543"/>
      <c r="D175" s="544"/>
      <c r="E175" s="544"/>
      <c r="F175" s="544"/>
      <c r="G175" s="544"/>
      <c r="H175" s="544"/>
      <c r="I175" s="543"/>
      <c r="J175" s="543"/>
      <c r="K175" s="544"/>
      <c r="L175" s="543"/>
      <c r="M175" s="544"/>
      <c r="N175" s="543"/>
      <c r="O175" s="544"/>
      <c r="P175" s="544"/>
      <c r="Q175" s="544"/>
      <c r="R175" s="544"/>
      <c r="S175" s="544"/>
    </row>
    <row r="176" ht="14.25" customHeight="1">
      <c r="A176" s="542"/>
      <c r="B176" s="543"/>
      <c r="C176" s="543"/>
      <c r="D176" s="544"/>
      <c r="E176" s="544"/>
      <c r="F176" s="544"/>
      <c r="G176" s="544"/>
      <c r="H176" s="544"/>
      <c r="I176" s="543"/>
      <c r="J176" s="543"/>
      <c r="K176" s="544"/>
      <c r="L176" s="543"/>
      <c r="M176" s="544"/>
      <c r="N176" s="543"/>
      <c r="O176" s="544"/>
      <c r="P176" s="544"/>
      <c r="Q176" s="544"/>
      <c r="R176" s="544"/>
      <c r="S176" s="544"/>
    </row>
    <row r="177" ht="14.25" customHeight="1">
      <c r="A177" s="542"/>
      <c r="B177" s="543"/>
      <c r="C177" s="543"/>
      <c r="D177" s="544"/>
      <c r="E177" s="544"/>
      <c r="F177" s="544"/>
      <c r="G177" s="544"/>
      <c r="H177" s="544"/>
      <c r="I177" s="543"/>
      <c r="J177" s="543"/>
      <c r="K177" s="544"/>
      <c r="L177" s="543"/>
      <c r="M177" s="544"/>
      <c r="N177" s="543"/>
      <c r="O177" s="544"/>
      <c r="P177" s="544"/>
      <c r="Q177" s="544"/>
      <c r="R177" s="544"/>
      <c r="S177" s="544"/>
    </row>
    <row r="178" ht="14.25" customHeight="1">
      <c r="A178" s="542"/>
      <c r="B178" s="543"/>
      <c r="C178" s="543"/>
      <c r="D178" s="544"/>
      <c r="E178" s="544"/>
      <c r="F178" s="544"/>
      <c r="G178" s="544"/>
      <c r="H178" s="544"/>
      <c r="I178" s="543"/>
      <c r="J178" s="543"/>
      <c r="K178" s="544"/>
      <c r="L178" s="543"/>
      <c r="M178" s="544"/>
      <c r="N178" s="543"/>
      <c r="O178" s="544"/>
      <c r="P178" s="544"/>
      <c r="Q178" s="544"/>
      <c r="R178" s="544"/>
      <c r="S178" s="544"/>
    </row>
    <row r="179" ht="14.25" customHeight="1">
      <c r="A179" s="542"/>
      <c r="B179" s="543"/>
      <c r="C179" s="543"/>
      <c r="D179" s="544"/>
      <c r="E179" s="544"/>
      <c r="F179" s="544"/>
      <c r="G179" s="544"/>
      <c r="H179" s="544"/>
      <c r="I179" s="543"/>
      <c r="J179" s="543"/>
      <c r="K179" s="544"/>
      <c r="L179" s="543"/>
      <c r="M179" s="544"/>
      <c r="N179" s="543"/>
      <c r="O179" s="544"/>
      <c r="P179" s="544"/>
      <c r="Q179" s="544"/>
      <c r="R179" s="544"/>
      <c r="S179" s="544"/>
    </row>
    <row r="180" ht="14.25" customHeight="1">
      <c r="A180" s="542"/>
      <c r="B180" s="543"/>
      <c r="C180" s="543"/>
      <c r="D180" s="544"/>
      <c r="E180" s="544"/>
      <c r="F180" s="544"/>
      <c r="G180" s="544"/>
      <c r="H180" s="544"/>
      <c r="I180" s="543"/>
      <c r="J180" s="543"/>
      <c r="K180" s="544"/>
      <c r="L180" s="543"/>
      <c r="M180" s="544"/>
      <c r="N180" s="543"/>
      <c r="O180" s="544"/>
      <c r="P180" s="544"/>
      <c r="Q180" s="544"/>
      <c r="R180" s="544"/>
      <c r="S180" s="544"/>
    </row>
    <row r="181" ht="14.25" customHeight="1">
      <c r="A181" s="542"/>
      <c r="B181" s="543"/>
      <c r="C181" s="543"/>
      <c r="D181" s="544"/>
      <c r="E181" s="544"/>
      <c r="F181" s="544"/>
      <c r="G181" s="544"/>
      <c r="H181" s="544"/>
      <c r="I181" s="543"/>
      <c r="J181" s="543"/>
      <c r="K181" s="544"/>
      <c r="L181" s="543"/>
      <c r="M181" s="544"/>
      <c r="N181" s="543"/>
      <c r="O181" s="544"/>
      <c r="P181" s="544"/>
      <c r="Q181" s="544"/>
      <c r="R181" s="544"/>
      <c r="S181" s="544"/>
    </row>
    <row r="182" ht="14.25" customHeight="1">
      <c r="A182" s="542"/>
      <c r="B182" s="543"/>
      <c r="C182" s="543"/>
      <c r="D182" s="544"/>
      <c r="E182" s="544"/>
      <c r="F182" s="544"/>
      <c r="G182" s="544"/>
      <c r="H182" s="544"/>
      <c r="I182" s="543"/>
      <c r="J182" s="543"/>
      <c r="K182" s="544"/>
      <c r="L182" s="543"/>
      <c r="M182" s="544"/>
      <c r="N182" s="543"/>
      <c r="O182" s="544"/>
      <c r="P182" s="544"/>
      <c r="Q182" s="544"/>
      <c r="R182" s="544"/>
      <c r="S182" s="544"/>
    </row>
    <row r="183" ht="14.25" customHeight="1">
      <c r="A183" s="542"/>
      <c r="B183" s="543"/>
      <c r="C183" s="543"/>
      <c r="D183" s="544"/>
      <c r="E183" s="544"/>
      <c r="F183" s="544"/>
      <c r="G183" s="544"/>
      <c r="H183" s="544"/>
      <c r="I183" s="543"/>
      <c r="J183" s="543"/>
      <c r="K183" s="544"/>
      <c r="L183" s="543"/>
      <c r="M183" s="544"/>
      <c r="N183" s="543"/>
      <c r="O183" s="544"/>
      <c r="P183" s="544"/>
      <c r="Q183" s="544"/>
      <c r="R183" s="544"/>
      <c r="S183" s="544"/>
    </row>
    <row r="184" ht="14.25" customHeight="1">
      <c r="A184" s="542"/>
      <c r="B184" s="543"/>
      <c r="C184" s="543"/>
      <c r="D184" s="544"/>
      <c r="E184" s="544"/>
      <c r="F184" s="544"/>
      <c r="G184" s="544"/>
      <c r="H184" s="544"/>
      <c r="I184" s="543"/>
      <c r="J184" s="543"/>
      <c r="K184" s="544"/>
      <c r="L184" s="543"/>
      <c r="M184" s="544"/>
      <c r="N184" s="543"/>
      <c r="O184" s="544"/>
      <c r="P184" s="544"/>
      <c r="Q184" s="544"/>
      <c r="R184" s="544"/>
      <c r="S184" s="544"/>
    </row>
    <row r="185" ht="14.25" customHeight="1">
      <c r="A185" s="542"/>
      <c r="B185" s="543"/>
      <c r="C185" s="543"/>
      <c r="D185" s="544"/>
      <c r="E185" s="544"/>
      <c r="F185" s="544"/>
      <c r="G185" s="544"/>
      <c r="H185" s="544"/>
      <c r="I185" s="543"/>
      <c r="J185" s="543"/>
      <c r="K185" s="544"/>
      <c r="L185" s="543"/>
      <c r="M185" s="544"/>
      <c r="N185" s="543"/>
      <c r="O185" s="544"/>
      <c r="P185" s="544"/>
      <c r="Q185" s="544"/>
      <c r="R185" s="544"/>
      <c r="S185" s="544"/>
    </row>
    <row r="186" ht="14.25" customHeight="1">
      <c r="A186" s="542"/>
      <c r="B186" s="543"/>
      <c r="C186" s="543"/>
      <c r="D186" s="544"/>
      <c r="E186" s="544"/>
      <c r="F186" s="544"/>
      <c r="G186" s="544"/>
      <c r="H186" s="544"/>
      <c r="I186" s="543"/>
      <c r="J186" s="543"/>
      <c r="K186" s="544"/>
      <c r="L186" s="543"/>
      <c r="M186" s="544"/>
      <c r="N186" s="543"/>
      <c r="O186" s="544"/>
      <c r="P186" s="544"/>
      <c r="Q186" s="544"/>
      <c r="R186" s="544"/>
      <c r="S186" s="544"/>
    </row>
    <row r="187" ht="14.25" customHeight="1">
      <c r="A187" s="542"/>
      <c r="B187" s="543"/>
      <c r="C187" s="543"/>
      <c r="D187" s="544"/>
      <c r="E187" s="544"/>
      <c r="F187" s="544"/>
      <c r="G187" s="544"/>
      <c r="H187" s="544"/>
      <c r="I187" s="543"/>
      <c r="J187" s="543"/>
      <c r="K187" s="544"/>
      <c r="L187" s="543"/>
      <c r="M187" s="544"/>
      <c r="N187" s="543"/>
      <c r="O187" s="544"/>
      <c r="P187" s="544"/>
      <c r="Q187" s="544"/>
      <c r="R187" s="544"/>
      <c r="S187" s="544"/>
    </row>
    <row r="188" ht="14.25" customHeight="1">
      <c r="A188" s="542"/>
      <c r="B188" s="543"/>
      <c r="C188" s="543"/>
      <c r="D188" s="544"/>
      <c r="E188" s="544"/>
      <c r="F188" s="544"/>
      <c r="G188" s="544"/>
      <c r="H188" s="544"/>
      <c r="I188" s="543"/>
      <c r="J188" s="543"/>
      <c r="K188" s="544"/>
      <c r="L188" s="543"/>
      <c r="M188" s="544"/>
      <c r="N188" s="543"/>
      <c r="O188" s="544"/>
      <c r="P188" s="544"/>
      <c r="Q188" s="544"/>
      <c r="R188" s="544"/>
      <c r="S188" s="544"/>
    </row>
    <row r="189" ht="14.25" customHeight="1">
      <c r="A189" s="542"/>
      <c r="B189" s="543"/>
      <c r="C189" s="543"/>
      <c r="D189" s="544"/>
      <c r="E189" s="544"/>
      <c r="F189" s="544"/>
      <c r="G189" s="544"/>
      <c r="H189" s="544"/>
      <c r="I189" s="543"/>
      <c r="J189" s="543"/>
      <c r="K189" s="544"/>
      <c r="L189" s="543"/>
      <c r="M189" s="544"/>
      <c r="N189" s="543"/>
      <c r="O189" s="544"/>
      <c r="P189" s="544"/>
      <c r="Q189" s="544"/>
      <c r="R189" s="544"/>
      <c r="S189" s="544"/>
    </row>
    <row r="190" ht="14.25" customHeight="1">
      <c r="A190" s="542"/>
      <c r="B190" s="543"/>
      <c r="C190" s="543"/>
      <c r="D190" s="544"/>
      <c r="E190" s="544"/>
      <c r="F190" s="544"/>
      <c r="G190" s="544"/>
      <c r="H190" s="544"/>
      <c r="I190" s="543"/>
      <c r="J190" s="543"/>
      <c r="K190" s="544"/>
      <c r="L190" s="543"/>
      <c r="M190" s="544"/>
      <c r="N190" s="543"/>
      <c r="O190" s="544"/>
      <c r="P190" s="544"/>
      <c r="Q190" s="544"/>
      <c r="R190" s="544"/>
      <c r="S190" s="544"/>
    </row>
    <row r="191" ht="14.25" customHeight="1">
      <c r="A191" s="542"/>
      <c r="B191" s="543"/>
      <c r="C191" s="543"/>
      <c r="D191" s="544"/>
      <c r="E191" s="544"/>
      <c r="F191" s="544"/>
      <c r="G191" s="544"/>
      <c r="H191" s="544"/>
      <c r="I191" s="543"/>
      <c r="J191" s="543"/>
      <c r="K191" s="544"/>
      <c r="L191" s="543"/>
      <c r="M191" s="544"/>
      <c r="N191" s="543"/>
      <c r="O191" s="544"/>
      <c r="P191" s="544"/>
      <c r="Q191" s="544"/>
      <c r="R191" s="544"/>
      <c r="S191" s="544"/>
    </row>
    <row r="192" ht="14.25" customHeight="1">
      <c r="A192" s="542"/>
      <c r="B192" s="543"/>
      <c r="C192" s="543"/>
      <c r="D192" s="544"/>
      <c r="E192" s="544"/>
      <c r="F192" s="544"/>
      <c r="G192" s="544"/>
      <c r="H192" s="544"/>
      <c r="I192" s="543"/>
      <c r="J192" s="543"/>
      <c r="K192" s="544"/>
      <c r="L192" s="543"/>
      <c r="M192" s="544"/>
      <c r="N192" s="543"/>
      <c r="O192" s="544"/>
      <c r="P192" s="544"/>
      <c r="Q192" s="544"/>
      <c r="R192" s="544"/>
      <c r="S192" s="544"/>
    </row>
    <row r="193" ht="14.25" customHeight="1">
      <c r="A193" s="542"/>
      <c r="B193" s="543"/>
      <c r="C193" s="543"/>
      <c r="D193" s="544"/>
      <c r="E193" s="544"/>
      <c r="F193" s="544"/>
      <c r="G193" s="544"/>
      <c r="H193" s="544"/>
      <c r="I193" s="543"/>
      <c r="J193" s="543"/>
      <c r="K193" s="544"/>
      <c r="L193" s="543"/>
      <c r="M193" s="544"/>
      <c r="N193" s="543"/>
      <c r="O193" s="544"/>
      <c r="P193" s="544"/>
      <c r="Q193" s="544"/>
      <c r="R193" s="544"/>
      <c r="S193" s="544"/>
    </row>
    <row r="194" ht="14.25" customHeight="1">
      <c r="A194" s="542"/>
      <c r="B194" s="543"/>
      <c r="C194" s="543"/>
      <c r="D194" s="544"/>
      <c r="E194" s="544"/>
      <c r="F194" s="544"/>
      <c r="G194" s="544"/>
      <c r="H194" s="544"/>
      <c r="I194" s="543"/>
      <c r="J194" s="543"/>
      <c r="K194" s="544"/>
      <c r="L194" s="543"/>
      <c r="M194" s="544"/>
      <c r="N194" s="543"/>
      <c r="O194" s="544"/>
      <c r="P194" s="544"/>
      <c r="Q194" s="544"/>
      <c r="R194" s="544"/>
      <c r="S194" s="544"/>
    </row>
    <row r="195" ht="14.25" customHeight="1">
      <c r="A195" s="542"/>
      <c r="B195" s="543"/>
      <c r="C195" s="543"/>
      <c r="D195" s="544"/>
      <c r="E195" s="544"/>
      <c r="F195" s="544"/>
      <c r="G195" s="544"/>
      <c r="H195" s="544"/>
      <c r="I195" s="543"/>
      <c r="J195" s="543"/>
      <c r="K195" s="544"/>
      <c r="L195" s="543"/>
      <c r="M195" s="544"/>
      <c r="N195" s="543"/>
      <c r="O195" s="544"/>
      <c r="P195" s="544"/>
      <c r="Q195" s="544"/>
      <c r="R195" s="544"/>
      <c r="S195" s="544"/>
    </row>
    <row r="196" ht="14.25" customHeight="1">
      <c r="A196" s="542"/>
      <c r="B196" s="543"/>
      <c r="C196" s="543"/>
      <c r="D196" s="544"/>
      <c r="E196" s="544"/>
      <c r="F196" s="544"/>
      <c r="G196" s="544"/>
      <c r="H196" s="544"/>
      <c r="I196" s="543"/>
      <c r="J196" s="543"/>
      <c r="K196" s="544"/>
      <c r="L196" s="543"/>
      <c r="M196" s="544"/>
      <c r="N196" s="543"/>
      <c r="O196" s="544"/>
      <c r="P196" s="544"/>
      <c r="Q196" s="544"/>
      <c r="R196" s="544"/>
      <c r="S196" s="544"/>
    </row>
    <row r="197" ht="14.25" customHeight="1">
      <c r="A197" s="542"/>
      <c r="B197" s="543"/>
      <c r="C197" s="543"/>
      <c r="D197" s="544"/>
      <c r="E197" s="544"/>
      <c r="F197" s="544"/>
      <c r="G197" s="544"/>
      <c r="H197" s="544"/>
      <c r="I197" s="543"/>
      <c r="J197" s="543"/>
      <c r="K197" s="544"/>
      <c r="L197" s="543"/>
      <c r="M197" s="544"/>
      <c r="N197" s="543"/>
      <c r="O197" s="544"/>
      <c r="P197" s="544"/>
      <c r="Q197" s="544"/>
      <c r="R197" s="544"/>
      <c r="S197" s="544"/>
    </row>
    <row r="198" ht="14.25" customHeight="1">
      <c r="A198" s="542"/>
      <c r="B198" s="543"/>
      <c r="C198" s="543"/>
      <c r="D198" s="544"/>
      <c r="E198" s="544"/>
      <c r="F198" s="544"/>
      <c r="G198" s="544"/>
      <c r="H198" s="544"/>
      <c r="I198" s="543"/>
      <c r="J198" s="543"/>
      <c r="K198" s="544"/>
      <c r="L198" s="543"/>
      <c r="M198" s="544"/>
      <c r="N198" s="543"/>
      <c r="O198" s="544"/>
      <c r="P198" s="544"/>
      <c r="Q198" s="544"/>
      <c r="R198" s="544"/>
      <c r="S198" s="544"/>
    </row>
    <row r="199" ht="14.25" customHeight="1">
      <c r="A199" s="542"/>
      <c r="B199" s="543"/>
      <c r="C199" s="543"/>
      <c r="D199" s="544"/>
      <c r="E199" s="544"/>
      <c r="F199" s="544"/>
      <c r="G199" s="544"/>
      <c r="H199" s="544"/>
      <c r="I199" s="543"/>
      <c r="J199" s="543"/>
      <c r="K199" s="544"/>
      <c r="L199" s="543"/>
      <c r="M199" s="544"/>
      <c r="N199" s="543"/>
      <c r="O199" s="544"/>
      <c r="P199" s="544"/>
      <c r="Q199" s="544"/>
      <c r="R199" s="544"/>
      <c r="S199" s="544"/>
    </row>
    <row r="200" ht="14.25" customHeight="1">
      <c r="A200" s="542"/>
      <c r="B200" s="543"/>
      <c r="C200" s="543"/>
      <c r="D200" s="544"/>
      <c r="E200" s="544"/>
      <c r="F200" s="544"/>
      <c r="G200" s="544"/>
      <c r="H200" s="544"/>
      <c r="I200" s="543"/>
      <c r="J200" s="543"/>
      <c r="K200" s="544"/>
      <c r="L200" s="543"/>
      <c r="M200" s="544"/>
      <c r="N200" s="543"/>
      <c r="O200" s="544"/>
      <c r="P200" s="544"/>
      <c r="Q200" s="544"/>
      <c r="R200" s="544"/>
      <c r="S200" s="544"/>
    </row>
    <row r="201" ht="14.25" customHeight="1">
      <c r="A201" s="542"/>
      <c r="B201" s="543"/>
      <c r="C201" s="543"/>
      <c r="D201" s="544"/>
      <c r="E201" s="544"/>
      <c r="F201" s="544"/>
      <c r="G201" s="544"/>
      <c r="H201" s="544"/>
      <c r="I201" s="543"/>
      <c r="J201" s="543"/>
      <c r="K201" s="544"/>
      <c r="L201" s="543"/>
      <c r="M201" s="544"/>
      <c r="N201" s="543"/>
      <c r="O201" s="544"/>
      <c r="P201" s="544"/>
      <c r="Q201" s="544"/>
      <c r="R201" s="544"/>
      <c r="S201" s="544"/>
    </row>
    <row r="202" ht="14.25" customHeight="1">
      <c r="A202" s="542"/>
      <c r="B202" s="543"/>
      <c r="C202" s="543"/>
      <c r="D202" s="544"/>
      <c r="E202" s="544"/>
      <c r="F202" s="544"/>
      <c r="G202" s="544"/>
      <c r="H202" s="544"/>
      <c r="I202" s="543"/>
      <c r="J202" s="543"/>
      <c r="K202" s="544"/>
      <c r="L202" s="543"/>
      <c r="M202" s="544"/>
      <c r="N202" s="543"/>
      <c r="O202" s="544"/>
      <c r="P202" s="544"/>
      <c r="Q202" s="544"/>
      <c r="R202" s="544"/>
      <c r="S202" s="544"/>
    </row>
    <row r="203" ht="14.25" customHeight="1">
      <c r="A203" s="542"/>
      <c r="B203" s="543"/>
      <c r="C203" s="543"/>
      <c r="D203" s="544"/>
      <c r="E203" s="544"/>
      <c r="F203" s="544"/>
      <c r="G203" s="544"/>
      <c r="H203" s="544"/>
      <c r="I203" s="543"/>
      <c r="J203" s="543"/>
      <c r="K203" s="544"/>
      <c r="L203" s="543"/>
      <c r="M203" s="544"/>
      <c r="N203" s="543"/>
      <c r="O203" s="544"/>
      <c r="P203" s="544"/>
      <c r="Q203" s="544"/>
      <c r="R203" s="544"/>
      <c r="S203" s="544"/>
    </row>
    <row r="204" ht="14.25" customHeight="1">
      <c r="A204" s="542"/>
      <c r="B204" s="543"/>
      <c r="C204" s="543"/>
      <c r="D204" s="544"/>
      <c r="E204" s="544"/>
      <c r="F204" s="544"/>
      <c r="G204" s="544"/>
      <c r="H204" s="544"/>
      <c r="I204" s="543"/>
      <c r="J204" s="543"/>
      <c r="K204" s="544"/>
      <c r="L204" s="543"/>
      <c r="M204" s="544"/>
      <c r="N204" s="543"/>
      <c r="O204" s="544"/>
      <c r="P204" s="544"/>
      <c r="Q204" s="544"/>
      <c r="R204" s="544"/>
      <c r="S204" s="544"/>
    </row>
    <row r="205" ht="14.25" customHeight="1">
      <c r="A205" s="542"/>
      <c r="B205" s="543"/>
      <c r="C205" s="543"/>
      <c r="D205" s="544"/>
      <c r="E205" s="544"/>
      <c r="F205" s="544"/>
      <c r="G205" s="544"/>
      <c r="H205" s="544"/>
      <c r="I205" s="543"/>
      <c r="J205" s="543"/>
      <c r="K205" s="544"/>
      <c r="L205" s="543"/>
      <c r="M205" s="544"/>
      <c r="N205" s="543"/>
      <c r="O205" s="544"/>
      <c r="P205" s="544"/>
      <c r="Q205" s="544"/>
      <c r="R205" s="544"/>
      <c r="S205" s="544"/>
    </row>
    <row r="206" ht="14.25" customHeight="1">
      <c r="A206" s="542"/>
      <c r="B206" s="543"/>
      <c r="C206" s="543"/>
      <c r="D206" s="544"/>
      <c r="E206" s="544"/>
      <c r="F206" s="544"/>
      <c r="G206" s="544"/>
      <c r="H206" s="544"/>
      <c r="I206" s="543"/>
      <c r="J206" s="543"/>
      <c r="K206" s="544"/>
      <c r="L206" s="543"/>
      <c r="M206" s="544"/>
      <c r="N206" s="543"/>
      <c r="O206" s="544"/>
      <c r="P206" s="544"/>
      <c r="Q206" s="544"/>
      <c r="R206" s="544"/>
      <c r="S206" s="544"/>
    </row>
    <row r="207" ht="14.25" customHeight="1">
      <c r="A207" s="542"/>
      <c r="B207" s="543"/>
      <c r="C207" s="543"/>
      <c r="D207" s="544"/>
      <c r="E207" s="544"/>
      <c r="F207" s="544"/>
      <c r="G207" s="544"/>
      <c r="H207" s="544"/>
      <c r="I207" s="543"/>
      <c r="J207" s="543"/>
      <c r="K207" s="544"/>
      <c r="L207" s="543"/>
      <c r="M207" s="544"/>
      <c r="N207" s="543"/>
      <c r="O207" s="544"/>
      <c r="P207" s="544"/>
      <c r="Q207" s="544"/>
      <c r="R207" s="544"/>
      <c r="S207" s="544"/>
    </row>
    <row r="208" ht="14.25" customHeight="1">
      <c r="A208" s="542"/>
      <c r="B208" s="543"/>
      <c r="C208" s="543"/>
      <c r="D208" s="544"/>
      <c r="E208" s="544"/>
      <c r="F208" s="544"/>
      <c r="G208" s="544"/>
      <c r="H208" s="544"/>
      <c r="I208" s="543"/>
      <c r="J208" s="543"/>
      <c r="K208" s="544"/>
      <c r="L208" s="543"/>
      <c r="M208" s="544"/>
      <c r="N208" s="543"/>
      <c r="O208" s="544"/>
      <c r="P208" s="544"/>
      <c r="Q208" s="544"/>
      <c r="R208" s="544"/>
      <c r="S208" s="544"/>
    </row>
    <row r="209" ht="14.25" customHeight="1">
      <c r="A209" s="542"/>
      <c r="B209" s="543"/>
      <c r="C209" s="543"/>
      <c r="D209" s="544"/>
      <c r="E209" s="544"/>
      <c r="F209" s="544"/>
      <c r="G209" s="544"/>
      <c r="H209" s="544"/>
      <c r="I209" s="543"/>
      <c r="J209" s="543"/>
      <c r="K209" s="544"/>
      <c r="L209" s="543"/>
      <c r="M209" s="544"/>
      <c r="N209" s="543"/>
      <c r="O209" s="544"/>
      <c r="P209" s="544"/>
      <c r="Q209" s="544"/>
      <c r="R209" s="544"/>
      <c r="S209" s="544"/>
    </row>
    <row r="210" ht="14.25" customHeight="1">
      <c r="A210" s="542"/>
      <c r="B210" s="543"/>
      <c r="C210" s="543"/>
      <c r="D210" s="544"/>
      <c r="E210" s="544"/>
      <c r="F210" s="544"/>
      <c r="G210" s="544"/>
      <c r="H210" s="544"/>
      <c r="I210" s="543"/>
      <c r="J210" s="543"/>
      <c r="K210" s="544"/>
      <c r="L210" s="543"/>
      <c r="M210" s="544"/>
      <c r="N210" s="543"/>
      <c r="O210" s="544"/>
      <c r="P210" s="544"/>
      <c r="Q210" s="544"/>
      <c r="R210" s="544"/>
      <c r="S210" s="544"/>
    </row>
    <row r="211" ht="14.25" customHeight="1">
      <c r="A211" s="542"/>
      <c r="B211" s="543"/>
      <c r="C211" s="543"/>
      <c r="D211" s="544"/>
      <c r="E211" s="544"/>
      <c r="F211" s="544"/>
      <c r="G211" s="544"/>
      <c r="H211" s="544"/>
      <c r="I211" s="543"/>
      <c r="J211" s="543"/>
      <c r="K211" s="544"/>
      <c r="L211" s="543"/>
      <c r="M211" s="544"/>
      <c r="N211" s="543"/>
      <c r="O211" s="544"/>
      <c r="P211" s="544"/>
      <c r="Q211" s="544"/>
      <c r="R211" s="544"/>
      <c r="S211" s="544"/>
    </row>
    <row r="212" ht="14.25" customHeight="1">
      <c r="A212" s="542"/>
      <c r="B212" s="543"/>
      <c r="C212" s="543"/>
      <c r="D212" s="544"/>
      <c r="E212" s="544"/>
      <c r="F212" s="544"/>
      <c r="G212" s="544"/>
      <c r="H212" s="544"/>
      <c r="I212" s="543"/>
      <c r="J212" s="543"/>
      <c r="K212" s="544"/>
      <c r="L212" s="543"/>
      <c r="M212" s="544"/>
      <c r="N212" s="543"/>
      <c r="O212" s="544"/>
      <c r="P212" s="544"/>
      <c r="Q212" s="544"/>
      <c r="R212" s="544"/>
      <c r="S212" s="544"/>
    </row>
    <row r="213" ht="14.25" customHeight="1">
      <c r="A213" s="542"/>
      <c r="B213" s="543"/>
      <c r="C213" s="543"/>
      <c r="D213" s="544"/>
      <c r="E213" s="544"/>
      <c r="F213" s="544"/>
      <c r="G213" s="544"/>
      <c r="H213" s="544"/>
      <c r="I213" s="543"/>
      <c r="J213" s="543"/>
      <c r="K213" s="544"/>
      <c r="L213" s="543"/>
      <c r="M213" s="544"/>
      <c r="N213" s="543"/>
      <c r="O213" s="544"/>
      <c r="P213" s="544"/>
      <c r="Q213" s="544"/>
      <c r="R213" s="544"/>
      <c r="S213" s="544"/>
    </row>
    <row r="214" ht="14.25" customHeight="1">
      <c r="A214" s="542"/>
      <c r="B214" s="543"/>
      <c r="C214" s="543"/>
      <c r="D214" s="544"/>
      <c r="E214" s="544"/>
      <c r="F214" s="544"/>
      <c r="G214" s="544"/>
      <c r="H214" s="544"/>
      <c r="I214" s="543"/>
      <c r="J214" s="543"/>
      <c r="K214" s="544"/>
      <c r="L214" s="543"/>
      <c r="M214" s="544"/>
      <c r="N214" s="543"/>
      <c r="O214" s="544"/>
      <c r="P214" s="544"/>
      <c r="Q214" s="544"/>
      <c r="R214" s="544"/>
      <c r="S214" s="544"/>
    </row>
    <row r="215" ht="14.25" customHeight="1">
      <c r="A215" s="542"/>
      <c r="B215" s="543"/>
      <c r="C215" s="543"/>
      <c r="D215" s="544"/>
      <c r="E215" s="544"/>
      <c r="F215" s="544"/>
      <c r="G215" s="544"/>
      <c r="H215" s="544"/>
      <c r="I215" s="543"/>
      <c r="J215" s="543"/>
      <c r="K215" s="544"/>
      <c r="L215" s="543"/>
      <c r="M215" s="544"/>
      <c r="N215" s="543"/>
      <c r="O215" s="544"/>
      <c r="P215" s="544"/>
      <c r="Q215" s="544"/>
      <c r="R215" s="544"/>
      <c r="S215" s="544"/>
    </row>
    <row r="216" ht="14.25" customHeight="1">
      <c r="A216" s="542"/>
      <c r="B216" s="543"/>
      <c r="C216" s="543"/>
      <c r="D216" s="544"/>
      <c r="E216" s="544"/>
      <c r="F216" s="544"/>
      <c r="G216" s="544"/>
      <c r="H216" s="544"/>
      <c r="I216" s="543"/>
      <c r="J216" s="543"/>
      <c r="K216" s="544"/>
      <c r="L216" s="543"/>
      <c r="M216" s="544"/>
      <c r="N216" s="543"/>
      <c r="O216" s="544"/>
      <c r="P216" s="544"/>
      <c r="Q216" s="544"/>
      <c r="R216" s="544"/>
      <c r="S216" s="544"/>
    </row>
    <row r="217" ht="14.25" customHeight="1">
      <c r="A217" s="542"/>
      <c r="B217" s="543"/>
      <c r="C217" s="543"/>
      <c r="D217" s="544"/>
      <c r="E217" s="544"/>
      <c r="F217" s="544"/>
      <c r="G217" s="544"/>
      <c r="H217" s="544"/>
      <c r="I217" s="543"/>
      <c r="J217" s="543"/>
      <c r="K217" s="544"/>
      <c r="L217" s="543"/>
      <c r="M217" s="544"/>
      <c r="N217" s="543"/>
      <c r="O217" s="544"/>
      <c r="P217" s="544"/>
      <c r="Q217" s="544"/>
      <c r="R217" s="544"/>
      <c r="S217" s="544"/>
    </row>
    <row r="218" ht="14.25" customHeight="1">
      <c r="A218" s="542"/>
      <c r="B218" s="543"/>
      <c r="C218" s="543"/>
      <c r="D218" s="544"/>
      <c r="E218" s="544"/>
      <c r="F218" s="544"/>
      <c r="G218" s="544"/>
      <c r="H218" s="544"/>
      <c r="I218" s="543"/>
      <c r="J218" s="543"/>
      <c r="K218" s="544"/>
      <c r="L218" s="543"/>
      <c r="M218" s="544"/>
      <c r="N218" s="543"/>
      <c r="O218" s="544"/>
      <c r="P218" s="544"/>
      <c r="Q218" s="544"/>
      <c r="R218" s="544"/>
      <c r="S218" s="544"/>
    </row>
    <row r="219" ht="14.25" customHeight="1">
      <c r="A219" s="542"/>
      <c r="B219" s="543"/>
      <c r="C219" s="543"/>
      <c r="D219" s="544"/>
      <c r="E219" s="544"/>
      <c r="F219" s="544"/>
      <c r="G219" s="544"/>
      <c r="H219" s="544"/>
      <c r="I219" s="543"/>
      <c r="J219" s="543"/>
      <c r="K219" s="544"/>
      <c r="L219" s="543"/>
      <c r="M219" s="544"/>
      <c r="N219" s="543"/>
      <c r="O219" s="544"/>
      <c r="P219" s="544"/>
      <c r="Q219" s="544"/>
      <c r="R219" s="544"/>
      <c r="S219" s="544"/>
    </row>
    <row r="220" ht="14.25" customHeight="1">
      <c r="A220" s="542"/>
      <c r="B220" s="543"/>
      <c r="C220" s="543"/>
      <c r="D220" s="544"/>
      <c r="E220" s="544"/>
      <c r="F220" s="544"/>
      <c r="G220" s="544"/>
      <c r="H220" s="544"/>
      <c r="I220" s="543"/>
      <c r="J220" s="543"/>
      <c r="K220" s="544"/>
      <c r="L220" s="543"/>
      <c r="M220" s="544"/>
      <c r="N220" s="543"/>
      <c r="O220" s="544"/>
      <c r="P220" s="544"/>
      <c r="Q220" s="544"/>
      <c r="R220" s="544"/>
      <c r="S220" s="544"/>
    </row>
    <row r="221" ht="14.25" customHeight="1">
      <c r="A221" s="542"/>
      <c r="B221" s="543"/>
      <c r="C221" s="543"/>
      <c r="D221" s="544"/>
      <c r="E221" s="544"/>
      <c r="F221" s="544"/>
      <c r="G221" s="544"/>
      <c r="H221" s="544"/>
      <c r="I221" s="543"/>
      <c r="J221" s="543"/>
      <c r="K221" s="544"/>
      <c r="L221" s="543"/>
      <c r="M221" s="544"/>
      <c r="N221" s="543"/>
      <c r="O221" s="544"/>
      <c r="P221" s="544"/>
      <c r="Q221" s="544"/>
      <c r="R221" s="544"/>
      <c r="S221" s="544"/>
    </row>
    <row r="222" ht="14.25" customHeight="1">
      <c r="A222" s="542"/>
      <c r="B222" s="543"/>
      <c r="C222" s="543"/>
      <c r="D222" s="544"/>
      <c r="E222" s="544"/>
      <c r="F222" s="544"/>
      <c r="G222" s="544"/>
      <c r="H222" s="544"/>
      <c r="I222" s="543"/>
      <c r="J222" s="543"/>
      <c r="K222" s="544"/>
      <c r="L222" s="543"/>
      <c r="M222" s="544"/>
      <c r="N222" s="543"/>
      <c r="O222" s="544"/>
      <c r="P222" s="544"/>
      <c r="Q222" s="544"/>
      <c r="R222" s="544"/>
      <c r="S222" s="544"/>
    </row>
    <row r="223" ht="14.25" customHeight="1">
      <c r="A223" s="542"/>
      <c r="B223" s="543"/>
      <c r="C223" s="543"/>
      <c r="D223" s="544"/>
      <c r="E223" s="544"/>
      <c r="F223" s="544"/>
      <c r="G223" s="544"/>
      <c r="H223" s="544"/>
      <c r="I223" s="543"/>
      <c r="J223" s="543"/>
      <c r="K223" s="544"/>
      <c r="L223" s="543"/>
      <c r="M223" s="544"/>
      <c r="N223" s="543"/>
      <c r="O223" s="544"/>
      <c r="P223" s="544"/>
      <c r="Q223" s="544"/>
      <c r="R223" s="544"/>
      <c r="S223" s="544"/>
    </row>
    <row r="224" ht="14.25" customHeight="1">
      <c r="A224" s="542"/>
      <c r="B224" s="543"/>
      <c r="C224" s="543"/>
      <c r="D224" s="544"/>
      <c r="E224" s="544"/>
      <c r="F224" s="544"/>
      <c r="G224" s="544"/>
      <c r="H224" s="544"/>
      <c r="I224" s="543"/>
      <c r="J224" s="543"/>
      <c r="K224" s="544"/>
      <c r="L224" s="543"/>
      <c r="M224" s="544"/>
      <c r="N224" s="543"/>
      <c r="O224" s="544"/>
      <c r="P224" s="544"/>
      <c r="Q224" s="544"/>
      <c r="R224" s="544"/>
      <c r="S224" s="544"/>
    </row>
    <row r="225" ht="14.25" customHeight="1">
      <c r="A225" s="542"/>
      <c r="B225" s="543"/>
      <c r="C225" s="543"/>
      <c r="D225" s="544"/>
      <c r="E225" s="544"/>
      <c r="F225" s="544"/>
      <c r="G225" s="544"/>
      <c r="H225" s="544"/>
      <c r="I225" s="543"/>
      <c r="J225" s="543"/>
      <c r="K225" s="544"/>
      <c r="L225" s="543"/>
      <c r="M225" s="544"/>
      <c r="N225" s="543"/>
      <c r="O225" s="544"/>
      <c r="P225" s="544"/>
      <c r="Q225" s="544"/>
      <c r="R225" s="544"/>
      <c r="S225" s="544"/>
    </row>
    <row r="226" ht="14.25" customHeight="1">
      <c r="A226" s="542"/>
      <c r="B226" s="543"/>
      <c r="C226" s="543"/>
      <c r="D226" s="544"/>
      <c r="E226" s="544"/>
      <c r="F226" s="544"/>
      <c r="G226" s="544"/>
      <c r="H226" s="544"/>
      <c r="I226" s="543"/>
      <c r="J226" s="543"/>
      <c r="K226" s="544"/>
      <c r="L226" s="543"/>
      <c r="M226" s="544"/>
      <c r="N226" s="543"/>
      <c r="O226" s="544"/>
      <c r="P226" s="544"/>
      <c r="Q226" s="544"/>
      <c r="R226" s="544"/>
      <c r="S226" s="544"/>
    </row>
    <row r="227" ht="14.25" customHeight="1">
      <c r="A227" s="542"/>
      <c r="B227" s="543"/>
      <c r="C227" s="543"/>
      <c r="D227" s="544"/>
      <c r="E227" s="544"/>
      <c r="F227" s="544"/>
      <c r="G227" s="544"/>
      <c r="H227" s="544"/>
      <c r="I227" s="543"/>
      <c r="J227" s="543"/>
      <c r="K227" s="544"/>
      <c r="L227" s="543"/>
      <c r="M227" s="544"/>
      <c r="N227" s="543"/>
      <c r="O227" s="544"/>
      <c r="P227" s="544"/>
      <c r="Q227" s="544"/>
      <c r="R227" s="544"/>
      <c r="S227" s="544"/>
    </row>
    <row r="228" ht="14.25" customHeight="1">
      <c r="A228" s="542"/>
      <c r="B228" s="543"/>
      <c r="C228" s="543"/>
      <c r="D228" s="544"/>
      <c r="E228" s="544"/>
      <c r="F228" s="544"/>
      <c r="G228" s="544"/>
      <c r="H228" s="544"/>
      <c r="I228" s="543"/>
      <c r="J228" s="543"/>
      <c r="K228" s="544"/>
      <c r="L228" s="543"/>
      <c r="M228" s="544"/>
      <c r="N228" s="543"/>
      <c r="O228" s="544"/>
      <c r="P228" s="544"/>
      <c r="Q228" s="544"/>
      <c r="R228" s="544"/>
      <c r="S228" s="544"/>
    </row>
    <row r="229" ht="14.25" customHeight="1">
      <c r="A229" s="542"/>
      <c r="B229" s="543"/>
      <c r="C229" s="543"/>
      <c r="D229" s="544"/>
      <c r="E229" s="544"/>
      <c r="F229" s="544"/>
      <c r="G229" s="544"/>
      <c r="H229" s="544"/>
      <c r="I229" s="543"/>
      <c r="J229" s="543"/>
      <c r="K229" s="544"/>
      <c r="L229" s="543"/>
      <c r="M229" s="544"/>
      <c r="N229" s="543"/>
      <c r="O229" s="544"/>
      <c r="P229" s="544"/>
      <c r="Q229" s="544"/>
      <c r="R229" s="544"/>
      <c r="S229" s="544"/>
    </row>
    <row r="230" ht="14.25" customHeight="1">
      <c r="A230" s="542"/>
      <c r="B230" s="543"/>
      <c r="C230" s="543"/>
      <c r="D230" s="544"/>
      <c r="E230" s="544"/>
      <c r="F230" s="544"/>
      <c r="G230" s="544"/>
      <c r="H230" s="544"/>
      <c r="I230" s="543"/>
      <c r="J230" s="543"/>
      <c r="K230" s="544"/>
      <c r="L230" s="543"/>
      <c r="M230" s="544"/>
      <c r="N230" s="543"/>
      <c r="O230" s="544"/>
      <c r="P230" s="544"/>
      <c r="Q230" s="544"/>
      <c r="R230" s="544"/>
      <c r="S230" s="544"/>
    </row>
    <row r="231" ht="14.25" customHeight="1">
      <c r="A231" s="542"/>
      <c r="B231" s="543"/>
      <c r="C231" s="543"/>
      <c r="D231" s="544"/>
      <c r="E231" s="544"/>
      <c r="F231" s="544"/>
      <c r="G231" s="544"/>
      <c r="H231" s="544"/>
      <c r="I231" s="543"/>
      <c r="J231" s="543"/>
      <c r="K231" s="544"/>
      <c r="L231" s="543"/>
      <c r="M231" s="544"/>
      <c r="N231" s="543"/>
      <c r="O231" s="544"/>
      <c r="P231" s="544"/>
      <c r="Q231" s="544"/>
      <c r="R231" s="544"/>
      <c r="S231" s="544"/>
    </row>
    <row r="232" ht="14.25" customHeight="1">
      <c r="A232" s="542"/>
      <c r="B232" s="543"/>
      <c r="C232" s="543"/>
      <c r="D232" s="544"/>
      <c r="E232" s="544"/>
      <c r="F232" s="544"/>
      <c r="G232" s="544"/>
      <c r="H232" s="544"/>
      <c r="I232" s="543"/>
      <c r="J232" s="543"/>
      <c r="K232" s="544"/>
      <c r="L232" s="543"/>
      <c r="M232" s="544"/>
      <c r="N232" s="543"/>
      <c r="O232" s="544"/>
      <c r="P232" s="544"/>
      <c r="Q232" s="544"/>
      <c r="R232" s="544"/>
      <c r="S232" s="544"/>
    </row>
    <row r="233" ht="14.25" customHeight="1">
      <c r="A233" s="542"/>
      <c r="B233" s="543"/>
      <c r="C233" s="543"/>
      <c r="D233" s="544"/>
      <c r="E233" s="544"/>
      <c r="F233" s="544"/>
      <c r="G233" s="544"/>
      <c r="H233" s="544"/>
      <c r="I233" s="543"/>
      <c r="J233" s="543"/>
      <c r="K233" s="544"/>
      <c r="L233" s="543"/>
      <c r="M233" s="544"/>
      <c r="N233" s="543"/>
      <c r="O233" s="544"/>
      <c r="P233" s="544"/>
      <c r="Q233" s="544"/>
      <c r="R233" s="544"/>
      <c r="S233" s="544"/>
    </row>
    <row r="234" ht="14.25" customHeight="1">
      <c r="A234" s="542"/>
      <c r="B234" s="543"/>
      <c r="C234" s="543"/>
      <c r="D234" s="544"/>
      <c r="E234" s="544"/>
      <c r="F234" s="544"/>
      <c r="G234" s="544"/>
      <c r="H234" s="544"/>
      <c r="I234" s="543"/>
      <c r="J234" s="543"/>
      <c r="K234" s="544"/>
      <c r="L234" s="543"/>
      <c r="M234" s="544"/>
      <c r="N234" s="543"/>
      <c r="O234" s="544"/>
      <c r="P234" s="544"/>
      <c r="Q234" s="544"/>
      <c r="R234" s="544"/>
      <c r="S234" s="544"/>
    </row>
    <row r="235" ht="14.25" customHeight="1">
      <c r="A235" s="542"/>
      <c r="B235" s="543"/>
      <c r="C235" s="543"/>
      <c r="D235" s="544"/>
      <c r="E235" s="544"/>
      <c r="F235" s="544"/>
      <c r="G235" s="544"/>
      <c r="H235" s="544"/>
      <c r="I235" s="543"/>
      <c r="J235" s="543"/>
      <c r="K235" s="544"/>
      <c r="L235" s="543"/>
      <c r="M235" s="544"/>
      <c r="N235" s="543"/>
      <c r="O235" s="544"/>
      <c r="P235" s="544"/>
      <c r="Q235" s="544"/>
      <c r="R235" s="544"/>
      <c r="S235" s="544"/>
    </row>
    <row r="236" ht="14.25" customHeight="1">
      <c r="A236" s="542"/>
      <c r="B236" s="543"/>
      <c r="C236" s="543"/>
      <c r="D236" s="544"/>
      <c r="E236" s="544"/>
      <c r="F236" s="544"/>
      <c r="G236" s="544"/>
      <c r="H236" s="544"/>
      <c r="I236" s="543"/>
      <c r="J236" s="543"/>
      <c r="K236" s="544"/>
      <c r="L236" s="543"/>
      <c r="M236" s="544"/>
      <c r="N236" s="543"/>
      <c r="O236" s="544"/>
      <c r="P236" s="544"/>
      <c r="Q236" s="544"/>
      <c r="R236" s="544"/>
      <c r="S236" s="544"/>
    </row>
    <row r="237" ht="14.25" customHeight="1">
      <c r="A237" s="542"/>
      <c r="B237" s="543"/>
      <c r="C237" s="543"/>
      <c r="D237" s="544"/>
      <c r="E237" s="544"/>
      <c r="F237" s="544"/>
      <c r="G237" s="544"/>
      <c r="H237" s="544"/>
      <c r="I237" s="543"/>
      <c r="J237" s="543"/>
      <c r="K237" s="544"/>
      <c r="L237" s="543"/>
      <c r="M237" s="544"/>
      <c r="N237" s="543"/>
      <c r="O237" s="544"/>
      <c r="P237" s="544"/>
      <c r="Q237" s="544"/>
      <c r="R237" s="544"/>
      <c r="S237" s="544"/>
    </row>
    <row r="238" ht="14.25" customHeight="1">
      <c r="A238" s="542"/>
      <c r="B238" s="543"/>
      <c r="C238" s="543"/>
      <c r="D238" s="544"/>
      <c r="E238" s="544"/>
      <c r="F238" s="544"/>
      <c r="G238" s="544"/>
      <c r="H238" s="544"/>
      <c r="I238" s="543"/>
      <c r="J238" s="543"/>
      <c r="K238" s="544"/>
      <c r="L238" s="543"/>
      <c r="M238" s="544"/>
      <c r="N238" s="543"/>
      <c r="O238" s="544"/>
      <c r="P238" s="544"/>
      <c r="Q238" s="544"/>
      <c r="R238" s="544"/>
      <c r="S238" s="544"/>
    </row>
    <row r="239" ht="14.25" customHeight="1">
      <c r="A239" s="542"/>
      <c r="B239" s="543"/>
      <c r="C239" s="543"/>
      <c r="D239" s="544"/>
      <c r="E239" s="544"/>
      <c r="F239" s="544"/>
      <c r="G239" s="544"/>
      <c r="H239" s="544"/>
      <c r="I239" s="543"/>
      <c r="J239" s="543"/>
      <c r="K239" s="544"/>
      <c r="L239" s="543"/>
      <c r="M239" s="544"/>
      <c r="N239" s="543"/>
      <c r="O239" s="544"/>
      <c r="P239" s="544"/>
      <c r="Q239" s="544"/>
      <c r="R239" s="544"/>
      <c r="S239" s="544"/>
    </row>
    <row r="240" ht="14.25" customHeight="1">
      <c r="A240" s="542"/>
      <c r="B240" s="543"/>
      <c r="C240" s="543"/>
      <c r="D240" s="544"/>
      <c r="E240" s="544"/>
      <c r="F240" s="544"/>
      <c r="G240" s="544"/>
      <c r="H240" s="544"/>
      <c r="I240" s="543"/>
      <c r="J240" s="543"/>
      <c r="K240" s="544"/>
      <c r="L240" s="543"/>
      <c r="M240" s="544"/>
      <c r="N240" s="543"/>
      <c r="O240" s="544"/>
      <c r="P240" s="544"/>
      <c r="Q240" s="544"/>
      <c r="R240" s="544"/>
      <c r="S240" s="544"/>
    </row>
    <row r="241" ht="14.25" customHeight="1">
      <c r="A241" s="542"/>
      <c r="B241" s="543"/>
      <c r="C241" s="543"/>
      <c r="D241" s="544"/>
      <c r="E241" s="544"/>
      <c r="F241" s="544"/>
      <c r="G241" s="544"/>
      <c r="H241" s="544"/>
      <c r="I241" s="543"/>
      <c r="J241" s="543"/>
      <c r="K241" s="544"/>
      <c r="L241" s="543"/>
      <c r="M241" s="544"/>
      <c r="N241" s="543"/>
      <c r="O241" s="544"/>
      <c r="P241" s="544"/>
      <c r="Q241" s="544"/>
      <c r="R241" s="544"/>
      <c r="S241" s="544"/>
    </row>
    <row r="242" ht="14.25" customHeight="1">
      <c r="A242" s="542"/>
      <c r="B242" s="543"/>
      <c r="C242" s="543"/>
      <c r="D242" s="544"/>
      <c r="E242" s="544"/>
      <c r="F242" s="544"/>
      <c r="G242" s="544"/>
      <c r="H242" s="544"/>
      <c r="I242" s="543"/>
      <c r="J242" s="543"/>
      <c r="K242" s="544"/>
      <c r="L242" s="543"/>
      <c r="M242" s="544"/>
      <c r="N242" s="543"/>
      <c r="O242" s="544"/>
      <c r="P242" s="544"/>
      <c r="Q242" s="544"/>
      <c r="R242" s="544"/>
      <c r="S242" s="544"/>
    </row>
    <row r="243" ht="14.25" customHeight="1">
      <c r="A243" s="542"/>
      <c r="B243" s="543"/>
      <c r="C243" s="543"/>
      <c r="D243" s="544"/>
      <c r="E243" s="544"/>
      <c r="F243" s="544"/>
      <c r="G243" s="544"/>
      <c r="H243" s="544"/>
      <c r="I243" s="543"/>
      <c r="J243" s="543"/>
      <c r="K243" s="544"/>
      <c r="L243" s="543"/>
      <c r="M243" s="544"/>
      <c r="N243" s="543"/>
      <c r="O243" s="544"/>
      <c r="P243" s="544"/>
      <c r="Q243" s="544"/>
      <c r="R243" s="544"/>
      <c r="S243" s="544"/>
    </row>
    <row r="244" ht="14.25" customHeight="1">
      <c r="A244" s="542"/>
      <c r="B244" s="543"/>
      <c r="C244" s="543"/>
      <c r="D244" s="544"/>
      <c r="E244" s="544"/>
      <c r="F244" s="544"/>
      <c r="G244" s="544"/>
      <c r="H244" s="544"/>
      <c r="I244" s="543"/>
      <c r="J244" s="543"/>
      <c r="K244" s="544"/>
      <c r="L244" s="543"/>
      <c r="M244" s="544"/>
      <c r="N244" s="543"/>
      <c r="O244" s="544"/>
      <c r="P244" s="544"/>
      <c r="Q244" s="544"/>
      <c r="R244" s="544"/>
      <c r="S244" s="544"/>
    </row>
    <row r="245" ht="14.25" customHeight="1">
      <c r="A245" s="542"/>
      <c r="B245" s="543"/>
      <c r="C245" s="543"/>
      <c r="D245" s="544"/>
      <c r="E245" s="544"/>
      <c r="F245" s="544"/>
      <c r="G245" s="544"/>
      <c r="H245" s="544"/>
      <c r="I245" s="543"/>
      <c r="J245" s="543"/>
      <c r="K245" s="544"/>
      <c r="L245" s="543"/>
      <c r="M245" s="544"/>
      <c r="N245" s="543"/>
      <c r="O245" s="544"/>
      <c r="P245" s="544"/>
      <c r="Q245" s="544"/>
      <c r="R245" s="544"/>
      <c r="S245" s="544"/>
    </row>
    <row r="246" ht="14.25" customHeight="1">
      <c r="A246" s="542"/>
      <c r="B246" s="543"/>
      <c r="C246" s="543"/>
      <c r="D246" s="544"/>
      <c r="E246" s="544"/>
      <c r="F246" s="544"/>
      <c r="G246" s="544"/>
      <c r="H246" s="544"/>
      <c r="I246" s="543"/>
      <c r="J246" s="543"/>
      <c r="K246" s="544"/>
      <c r="L246" s="543"/>
      <c r="M246" s="544"/>
      <c r="N246" s="543"/>
      <c r="O246" s="544"/>
      <c r="P246" s="544"/>
      <c r="Q246" s="544"/>
      <c r="R246" s="544"/>
      <c r="S246" s="544"/>
    </row>
    <row r="247" ht="14.25" customHeight="1">
      <c r="A247" s="542"/>
      <c r="B247" s="543"/>
      <c r="C247" s="543"/>
      <c r="D247" s="544"/>
      <c r="E247" s="544"/>
      <c r="F247" s="544"/>
      <c r="G247" s="544"/>
      <c r="H247" s="544"/>
      <c r="I247" s="543"/>
      <c r="J247" s="543"/>
      <c r="K247" s="544"/>
      <c r="L247" s="543"/>
      <c r="M247" s="544"/>
      <c r="N247" s="543"/>
      <c r="O247" s="544"/>
      <c r="P247" s="544"/>
      <c r="Q247" s="544"/>
      <c r="R247" s="544"/>
      <c r="S247" s="544"/>
    </row>
    <row r="248" ht="14.25" customHeight="1">
      <c r="A248" s="542"/>
      <c r="B248" s="543"/>
      <c r="C248" s="543"/>
      <c r="D248" s="544"/>
      <c r="E248" s="544"/>
      <c r="F248" s="544"/>
      <c r="G248" s="544"/>
      <c r="H248" s="544"/>
      <c r="I248" s="543"/>
      <c r="J248" s="543"/>
      <c r="K248" s="544"/>
      <c r="L248" s="543"/>
      <c r="M248" s="544"/>
      <c r="N248" s="543"/>
      <c r="O248" s="544"/>
      <c r="P248" s="544"/>
      <c r="Q248" s="544"/>
      <c r="R248" s="544"/>
      <c r="S248" s="544"/>
    </row>
    <row r="249" ht="14.25" customHeight="1">
      <c r="A249" s="542"/>
      <c r="B249" s="543"/>
      <c r="C249" s="543"/>
      <c r="D249" s="544"/>
      <c r="E249" s="544"/>
      <c r="F249" s="544"/>
      <c r="G249" s="544"/>
      <c r="H249" s="544"/>
      <c r="I249" s="543"/>
      <c r="J249" s="543"/>
      <c r="K249" s="544"/>
      <c r="L249" s="543"/>
      <c r="M249" s="544"/>
      <c r="N249" s="543"/>
      <c r="O249" s="544"/>
      <c r="P249" s="544"/>
      <c r="Q249" s="544"/>
      <c r="R249" s="544"/>
      <c r="S249" s="544"/>
    </row>
    <row r="250" ht="14.25" customHeight="1">
      <c r="A250" s="542"/>
      <c r="B250" s="543"/>
      <c r="C250" s="543"/>
      <c r="D250" s="544"/>
      <c r="E250" s="544"/>
      <c r="F250" s="544"/>
      <c r="G250" s="544"/>
      <c r="H250" s="544"/>
      <c r="I250" s="543"/>
      <c r="J250" s="543"/>
      <c r="K250" s="544"/>
      <c r="L250" s="543"/>
      <c r="M250" s="544"/>
      <c r="N250" s="543"/>
      <c r="O250" s="544"/>
      <c r="P250" s="544"/>
      <c r="Q250" s="544"/>
      <c r="R250" s="544"/>
      <c r="S250" s="544"/>
    </row>
    <row r="251" ht="14.25" customHeight="1">
      <c r="A251" s="542"/>
      <c r="B251" s="543"/>
      <c r="C251" s="543"/>
      <c r="D251" s="544"/>
      <c r="E251" s="544"/>
      <c r="F251" s="544"/>
      <c r="G251" s="544"/>
      <c r="H251" s="544"/>
      <c r="I251" s="543"/>
      <c r="J251" s="543"/>
      <c r="K251" s="544"/>
      <c r="L251" s="543"/>
      <c r="M251" s="544"/>
      <c r="N251" s="543"/>
      <c r="O251" s="544"/>
      <c r="P251" s="544"/>
      <c r="Q251" s="544"/>
      <c r="R251" s="544"/>
      <c r="S251" s="544"/>
    </row>
    <row r="252" ht="14.25" customHeight="1">
      <c r="A252" s="542"/>
      <c r="B252" s="543"/>
      <c r="C252" s="543"/>
      <c r="D252" s="544"/>
      <c r="E252" s="544"/>
      <c r="F252" s="544"/>
      <c r="G252" s="544"/>
      <c r="H252" s="544"/>
      <c r="I252" s="543"/>
      <c r="J252" s="543"/>
      <c r="K252" s="544"/>
      <c r="L252" s="543"/>
      <c r="M252" s="544"/>
      <c r="N252" s="543"/>
      <c r="O252" s="544"/>
      <c r="P252" s="544"/>
      <c r="Q252" s="544"/>
      <c r="R252" s="544"/>
      <c r="S252" s="544"/>
    </row>
    <row r="253" ht="14.25" customHeight="1">
      <c r="A253" s="542"/>
      <c r="B253" s="543"/>
      <c r="C253" s="543"/>
      <c r="D253" s="544"/>
      <c r="E253" s="544"/>
      <c r="F253" s="544"/>
      <c r="G253" s="544"/>
      <c r="H253" s="544"/>
      <c r="I253" s="543"/>
      <c r="J253" s="543"/>
      <c r="K253" s="544"/>
      <c r="L253" s="543"/>
      <c r="M253" s="544"/>
      <c r="N253" s="543"/>
      <c r="O253" s="544"/>
      <c r="P253" s="544"/>
      <c r="Q253" s="544"/>
      <c r="R253" s="544"/>
      <c r="S253" s="544"/>
    </row>
    <row r="254" ht="14.25" customHeight="1">
      <c r="A254" s="542"/>
      <c r="B254" s="543"/>
      <c r="C254" s="543"/>
      <c r="D254" s="544"/>
      <c r="E254" s="544"/>
      <c r="F254" s="544"/>
      <c r="G254" s="544"/>
      <c r="H254" s="544"/>
      <c r="I254" s="543"/>
      <c r="J254" s="543"/>
      <c r="K254" s="544"/>
      <c r="L254" s="543"/>
      <c r="M254" s="544"/>
      <c r="N254" s="543"/>
      <c r="O254" s="544"/>
      <c r="P254" s="544"/>
      <c r="Q254" s="544"/>
      <c r="R254" s="544"/>
      <c r="S254" s="544"/>
    </row>
    <row r="255" ht="14.25" customHeight="1">
      <c r="A255" s="542"/>
      <c r="B255" s="543"/>
      <c r="C255" s="543"/>
      <c r="D255" s="544"/>
      <c r="E255" s="544"/>
      <c r="F255" s="544"/>
      <c r="G255" s="544"/>
      <c r="H255" s="544"/>
      <c r="I255" s="543"/>
      <c r="J255" s="543"/>
      <c r="K255" s="544"/>
      <c r="L255" s="543"/>
      <c r="M255" s="544"/>
      <c r="N255" s="543"/>
      <c r="O255" s="544"/>
      <c r="P255" s="544"/>
      <c r="Q255" s="544"/>
      <c r="R255" s="544"/>
      <c r="S255" s="544"/>
    </row>
    <row r="256" ht="14.25" customHeight="1">
      <c r="A256" s="542"/>
      <c r="B256" s="543"/>
      <c r="C256" s="543"/>
      <c r="D256" s="544"/>
      <c r="E256" s="544"/>
      <c r="F256" s="544"/>
      <c r="G256" s="544"/>
      <c r="H256" s="544"/>
      <c r="I256" s="543"/>
      <c r="J256" s="543"/>
      <c r="K256" s="544"/>
      <c r="L256" s="543"/>
      <c r="M256" s="544"/>
      <c r="N256" s="543"/>
      <c r="O256" s="544"/>
      <c r="P256" s="544"/>
      <c r="Q256" s="544"/>
      <c r="R256" s="544"/>
      <c r="S256" s="544"/>
    </row>
    <row r="257" ht="14.25" customHeight="1">
      <c r="A257" s="542"/>
      <c r="B257" s="543"/>
      <c r="C257" s="543"/>
      <c r="D257" s="544"/>
      <c r="E257" s="544"/>
      <c r="F257" s="544"/>
      <c r="G257" s="544"/>
      <c r="H257" s="544"/>
      <c r="I257" s="543"/>
      <c r="J257" s="543"/>
      <c r="K257" s="544"/>
      <c r="L257" s="543"/>
      <c r="M257" s="544"/>
      <c r="N257" s="543"/>
      <c r="O257" s="544"/>
      <c r="P257" s="544"/>
      <c r="Q257" s="544"/>
      <c r="R257" s="544"/>
      <c r="S257" s="544"/>
    </row>
    <row r="258" ht="14.25" customHeight="1">
      <c r="A258" s="542"/>
      <c r="B258" s="543"/>
      <c r="C258" s="543"/>
      <c r="D258" s="544"/>
      <c r="E258" s="544"/>
      <c r="F258" s="544"/>
      <c r="G258" s="544"/>
      <c r="H258" s="544"/>
      <c r="I258" s="543"/>
      <c r="J258" s="543"/>
      <c r="K258" s="544"/>
      <c r="L258" s="543"/>
      <c r="M258" s="544"/>
      <c r="N258" s="543"/>
      <c r="O258" s="544"/>
      <c r="P258" s="544"/>
      <c r="Q258" s="544"/>
      <c r="R258" s="544"/>
      <c r="S258" s="544"/>
    </row>
    <row r="259" ht="14.25" customHeight="1">
      <c r="A259" s="542"/>
      <c r="B259" s="543"/>
      <c r="C259" s="543"/>
      <c r="D259" s="544"/>
      <c r="E259" s="544"/>
      <c r="F259" s="544"/>
      <c r="G259" s="544"/>
      <c r="H259" s="544"/>
      <c r="I259" s="543"/>
      <c r="J259" s="543"/>
      <c r="K259" s="544"/>
      <c r="L259" s="543"/>
      <c r="M259" s="544"/>
      <c r="N259" s="543"/>
      <c r="O259" s="544"/>
      <c r="P259" s="544"/>
      <c r="Q259" s="544"/>
      <c r="R259" s="544"/>
      <c r="S259" s="544"/>
    </row>
    <row r="260" ht="14.25" customHeight="1">
      <c r="A260" s="542"/>
      <c r="B260" s="543"/>
      <c r="C260" s="543"/>
      <c r="D260" s="544"/>
      <c r="E260" s="544"/>
      <c r="F260" s="544"/>
      <c r="G260" s="544"/>
      <c r="H260" s="544"/>
      <c r="I260" s="543"/>
      <c r="J260" s="543"/>
      <c r="K260" s="544"/>
      <c r="L260" s="543"/>
      <c r="M260" s="544"/>
      <c r="N260" s="543"/>
      <c r="O260" s="544"/>
      <c r="P260" s="544"/>
      <c r="Q260" s="544"/>
      <c r="R260" s="544"/>
      <c r="S260" s="544"/>
    </row>
    <row r="261" ht="14.25" customHeight="1">
      <c r="A261" s="542"/>
      <c r="B261" s="543"/>
      <c r="C261" s="543"/>
      <c r="D261" s="544"/>
      <c r="E261" s="544"/>
      <c r="F261" s="544"/>
      <c r="G261" s="544"/>
      <c r="H261" s="544"/>
      <c r="I261" s="543"/>
      <c r="J261" s="543"/>
      <c r="K261" s="544"/>
      <c r="L261" s="543"/>
      <c r="M261" s="544"/>
      <c r="N261" s="543"/>
      <c r="O261" s="544"/>
      <c r="P261" s="544"/>
      <c r="Q261" s="544"/>
      <c r="R261" s="544"/>
      <c r="S261" s="544"/>
    </row>
    <row r="262" ht="14.25" customHeight="1">
      <c r="A262" s="542"/>
      <c r="B262" s="543"/>
      <c r="C262" s="543"/>
      <c r="D262" s="544"/>
      <c r="E262" s="544"/>
      <c r="F262" s="544"/>
      <c r="G262" s="544"/>
      <c r="H262" s="544"/>
      <c r="I262" s="543"/>
      <c r="J262" s="543"/>
      <c r="K262" s="544"/>
      <c r="L262" s="543"/>
      <c r="M262" s="544"/>
      <c r="N262" s="543"/>
      <c r="O262" s="544"/>
      <c r="P262" s="544"/>
      <c r="Q262" s="544"/>
      <c r="R262" s="544"/>
      <c r="S262" s="544"/>
    </row>
    <row r="263" ht="14.25" customHeight="1">
      <c r="A263" s="542"/>
      <c r="B263" s="543"/>
      <c r="C263" s="543"/>
      <c r="D263" s="544"/>
      <c r="E263" s="544"/>
      <c r="F263" s="544"/>
      <c r="G263" s="544"/>
      <c r="H263" s="544"/>
      <c r="I263" s="543"/>
      <c r="J263" s="543"/>
      <c r="K263" s="544"/>
      <c r="L263" s="543"/>
      <c r="M263" s="544"/>
      <c r="N263" s="543"/>
      <c r="O263" s="544"/>
      <c r="P263" s="544"/>
      <c r="Q263" s="544"/>
      <c r="R263" s="544"/>
      <c r="S263" s="544"/>
    </row>
    <row r="264" ht="14.25" customHeight="1">
      <c r="A264" s="542"/>
      <c r="B264" s="543"/>
      <c r="C264" s="543"/>
      <c r="D264" s="544"/>
      <c r="E264" s="544"/>
      <c r="F264" s="544"/>
      <c r="G264" s="544"/>
      <c r="H264" s="544"/>
      <c r="I264" s="543"/>
      <c r="J264" s="543"/>
      <c r="K264" s="544"/>
      <c r="L264" s="543"/>
      <c r="M264" s="544"/>
      <c r="N264" s="543"/>
      <c r="O264" s="544"/>
      <c r="P264" s="544"/>
      <c r="Q264" s="544"/>
      <c r="R264" s="544"/>
      <c r="S264" s="544"/>
    </row>
    <row r="265" ht="14.25" customHeight="1">
      <c r="A265" s="542"/>
      <c r="B265" s="543"/>
      <c r="C265" s="543"/>
      <c r="D265" s="544"/>
      <c r="E265" s="544"/>
      <c r="F265" s="544"/>
      <c r="G265" s="544"/>
      <c r="H265" s="544"/>
      <c r="I265" s="543"/>
      <c r="J265" s="543"/>
      <c r="K265" s="544"/>
      <c r="L265" s="543"/>
      <c r="M265" s="544"/>
      <c r="N265" s="543"/>
      <c r="O265" s="544"/>
      <c r="P265" s="544"/>
      <c r="Q265" s="544"/>
      <c r="R265" s="544"/>
      <c r="S265" s="544"/>
    </row>
    <row r="266" ht="14.25" customHeight="1">
      <c r="A266" s="542"/>
      <c r="B266" s="543"/>
      <c r="C266" s="543"/>
      <c r="D266" s="544"/>
      <c r="E266" s="544"/>
      <c r="F266" s="544"/>
      <c r="G266" s="544"/>
      <c r="H266" s="544"/>
      <c r="I266" s="543"/>
      <c r="J266" s="543"/>
      <c r="K266" s="544"/>
      <c r="L266" s="543"/>
      <c r="M266" s="544"/>
      <c r="N266" s="543"/>
      <c r="O266" s="544"/>
      <c r="P266" s="544"/>
      <c r="Q266" s="544"/>
      <c r="R266" s="544"/>
      <c r="S266" s="544"/>
    </row>
    <row r="267" ht="14.25" customHeight="1">
      <c r="A267" s="542"/>
      <c r="B267" s="543"/>
      <c r="C267" s="543"/>
      <c r="D267" s="544"/>
      <c r="E267" s="544"/>
      <c r="F267" s="544"/>
      <c r="G267" s="544"/>
      <c r="H267" s="544"/>
      <c r="I267" s="543"/>
      <c r="J267" s="543"/>
      <c r="K267" s="544"/>
      <c r="L267" s="543"/>
      <c r="M267" s="544"/>
      <c r="N267" s="543"/>
      <c r="O267" s="544"/>
      <c r="P267" s="544"/>
      <c r="Q267" s="544"/>
      <c r="R267" s="544"/>
      <c r="S267" s="544"/>
    </row>
    <row r="268" ht="14.25" customHeight="1">
      <c r="A268" s="542"/>
      <c r="B268" s="543"/>
      <c r="C268" s="543"/>
      <c r="D268" s="544"/>
      <c r="E268" s="544"/>
      <c r="F268" s="544"/>
      <c r="G268" s="544"/>
      <c r="H268" s="544"/>
      <c r="I268" s="543"/>
      <c r="J268" s="543"/>
      <c r="K268" s="544"/>
      <c r="L268" s="543"/>
      <c r="M268" s="544"/>
      <c r="N268" s="543"/>
      <c r="O268" s="544"/>
      <c r="P268" s="544"/>
      <c r="Q268" s="544"/>
      <c r="R268" s="544"/>
      <c r="S268" s="544"/>
    </row>
    <row r="269" ht="14.25" customHeight="1">
      <c r="A269" s="542"/>
      <c r="B269" s="543"/>
      <c r="C269" s="543"/>
      <c r="D269" s="544"/>
      <c r="E269" s="544"/>
      <c r="F269" s="544"/>
      <c r="G269" s="544"/>
      <c r="H269" s="544"/>
      <c r="I269" s="543"/>
      <c r="J269" s="543"/>
      <c r="K269" s="544"/>
      <c r="L269" s="543"/>
      <c r="M269" s="544"/>
      <c r="N269" s="543"/>
      <c r="O269" s="544"/>
      <c r="P269" s="544"/>
      <c r="Q269" s="544"/>
      <c r="R269" s="544"/>
      <c r="S269" s="544"/>
    </row>
    <row r="270" ht="14.25" customHeight="1">
      <c r="A270" s="542"/>
      <c r="B270" s="543"/>
      <c r="C270" s="543"/>
      <c r="D270" s="544"/>
      <c r="E270" s="544"/>
      <c r="F270" s="544"/>
      <c r="G270" s="544"/>
      <c r="H270" s="544"/>
      <c r="I270" s="543"/>
      <c r="J270" s="543"/>
      <c r="K270" s="544"/>
      <c r="L270" s="543"/>
      <c r="M270" s="544"/>
      <c r="N270" s="543"/>
      <c r="O270" s="544"/>
      <c r="P270" s="544"/>
      <c r="Q270" s="544"/>
      <c r="R270" s="544"/>
      <c r="S270" s="544"/>
    </row>
    <row r="271" ht="14.25" customHeight="1">
      <c r="A271" s="542"/>
      <c r="B271" s="543"/>
      <c r="C271" s="543"/>
      <c r="D271" s="544"/>
      <c r="E271" s="544"/>
      <c r="F271" s="544"/>
      <c r="G271" s="544"/>
      <c r="H271" s="544"/>
      <c r="I271" s="543"/>
      <c r="J271" s="543"/>
      <c r="K271" s="544"/>
      <c r="L271" s="543"/>
      <c r="M271" s="544"/>
      <c r="N271" s="543"/>
      <c r="O271" s="544"/>
      <c r="P271" s="544"/>
      <c r="Q271" s="544"/>
      <c r="R271" s="544"/>
      <c r="S271" s="544"/>
    </row>
    <row r="272" ht="14.25" customHeight="1">
      <c r="A272" s="542"/>
      <c r="B272" s="543"/>
      <c r="C272" s="543"/>
      <c r="D272" s="544"/>
      <c r="E272" s="544"/>
      <c r="F272" s="544"/>
      <c r="G272" s="544"/>
      <c r="H272" s="544"/>
      <c r="I272" s="543"/>
      <c r="J272" s="543"/>
      <c r="K272" s="544"/>
      <c r="L272" s="543"/>
      <c r="M272" s="544"/>
      <c r="N272" s="543"/>
      <c r="O272" s="544"/>
      <c r="P272" s="544"/>
      <c r="Q272" s="544"/>
      <c r="R272" s="544"/>
      <c r="S272" s="544"/>
    </row>
    <row r="273" ht="14.25" customHeight="1">
      <c r="A273" s="542"/>
      <c r="B273" s="543"/>
      <c r="C273" s="543"/>
      <c r="D273" s="544"/>
      <c r="E273" s="544"/>
      <c r="F273" s="544"/>
      <c r="G273" s="544"/>
      <c r="H273" s="544"/>
      <c r="I273" s="543"/>
      <c r="J273" s="543"/>
      <c r="K273" s="544"/>
      <c r="L273" s="543"/>
      <c r="M273" s="544"/>
      <c r="N273" s="543"/>
      <c r="O273" s="544"/>
      <c r="P273" s="544"/>
      <c r="Q273" s="544"/>
      <c r="R273" s="544"/>
      <c r="S273" s="544"/>
    </row>
    <row r="274" ht="14.25" customHeight="1">
      <c r="A274" s="542"/>
      <c r="B274" s="543"/>
      <c r="C274" s="543"/>
      <c r="D274" s="544"/>
      <c r="E274" s="544"/>
      <c r="F274" s="544"/>
      <c r="G274" s="544"/>
      <c r="H274" s="544"/>
      <c r="I274" s="543"/>
      <c r="J274" s="543"/>
      <c r="K274" s="544"/>
      <c r="L274" s="543"/>
      <c r="M274" s="544"/>
      <c r="N274" s="543"/>
      <c r="O274" s="544"/>
      <c r="P274" s="544"/>
      <c r="Q274" s="544"/>
      <c r="R274" s="544"/>
      <c r="S274" s="544"/>
    </row>
    <row r="275" ht="14.25" customHeight="1">
      <c r="A275" s="542"/>
      <c r="B275" s="543"/>
      <c r="C275" s="543"/>
      <c r="D275" s="544"/>
      <c r="E275" s="544"/>
      <c r="F275" s="544"/>
      <c r="G275" s="544"/>
      <c r="H275" s="544"/>
      <c r="I275" s="543"/>
      <c r="J275" s="543"/>
      <c r="K275" s="544"/>
      <c r="L275" s="543"/>
      <c r="M275" s="544"/>
      <c r="N275" s="543"/>
      <c r="O275" s="544"/>
      <c r="P275" s="544"/>
      <c r="Q275" s="544"/>
      <c r="R275" s="544"/>
      <c r="S275" s="544"/>
    </row>
    <row r="276" ht="14.25" customHeight="1">
      <c r="A276" s="542"/>
      <c r="B276" s="543"/>
      <c r="C276" s="543"/>
      <c r="D276" s="544"/>
      <c r="E276" s="544"/>
      <c r="F276" s="544"/>
      <c r="G276" s="544"/>
      <c r="H276" s="544"/>
      <c r="I276" s="543"/>
      <c r="J276" s="543"/>
      <c r="K276" s="544"/>
      <c r="L276" s="543"/>
      <c r="M276" s="544"/>
      <c r="N276" s="543"/>
      <c r="O276" s="544"/>
      <c r="P276" s="544"/>
      <c r="Q276" s="544"/>
      <c r="R276" s="544"/>
      <c r="S276" s="544"/>
    </row>
    <row r="277" ht="14.25" customHeight="1">
      <c r="A277" s="542"/>
      <c r="B277" s="543"/>
      <c r="C277" s="543"/>
      <c r="D277" s="544"/>
      <c r="E277" s="544"/>
      <c r="F277" s="544"/>
      <c r="G277" s="544"/>
      <c r="H277" s="544"/>
      <c r="I277" s="543"/>
      <c r="J277" s="543"/>
      <c r="K277" s="544"/>
      <c r="L277" s="543"/>
      <c r="M277" s="544"/>
      <c r="N277" s="543"/>
      <c r="O277" s="544"/>
      <c r="P277" s="544"/>
      <c r="Q277" s="544"/>
      <c r="R277" s="544"/>
      <c r="S277" s="544"/>
    </row>
    <row r="278" ht="14.25" customHeight="1">
      <c r="A278" s="542"/>
      <c r="B278" s="543"/>
      <c r="C278" s="543"/>
      <c r="D278" s="544"/>
      <c r="E278" s="544"/>
      <c r="F278" s="544"/>
      <c r="G278" s="544"/>
      <c r="H278" s="544"/>
      <c r="I278" s="543"/>
      <c r="J278" s="543"/>
      <c r="K278" s="544"/>
      <c r="L278" s="543"/>
      <c r="M278" s="544"/>
      <c r="N278" s="543"/>
      <c r="O278" s="544"/>
      <c r="P278" s="544"/>
      <c r="Q278" s="544"/>
      <c r="R278" s="544"/>
      <c r="S278" s="544"/>
    </row>
    <row r="279" ht="14.25" customHeight="1">
      <c r="A279" s="542"/>
      <c r="B279" s="543"/>
      <c r="C279" s="543"/>
      <c r="D279" s="544"/>
      <c r="E279" s="544"/>
      <c r="F279" s="544"/>
      <c r="G279" s="544"/>
      <c r="H279" s="544"/>
      <c r="I279" s="543"/>
      <c r="J279" s="543"/>
      <c r="K279" s="544"/>
      <c r="L279" s="543"/>
      <c r="M279" s="544"/>
      <c r="N279" s="543"/>
      <c r="O279" s="544"/>
      <c r="P279" s="544"/>
      <c r="Q279" s="544"/>
      <c r="R279" s="544"/>
      <c r="S279" s="544"/>
    </row>
    <row r="280" ht="14.25" customHeight="1">
      <c r="A280" s="542"/>
      <c r="B280" s="543"/>
      <c r="C280" s="543"/>
      <c r="D280" s="544"/>
      <c r="E280" s="544"/>
      <c r="F280" s="544"/>
      <c r="G280" s="544"/>
      <c r="H280" s="544"/>
      <c r="I280" s="543"/>
      <c r="J280" s="543"/>
      <c r="K280" s="544"/>
      <c r="L280" s="543"/>
      <c r="M280" s="544"/>
      <c r="N280" s="543"/>
      <c r="O280" s="544"/>
      <c r="P280" s="544"/>
      <c r="Q280" s="544"/>
      <c r="R280" s="544"/>
      <c r="S280" s="544"/>
    </row>
    <row r="281" ht="14.25" customHeight="1">
      <c r="A281" s="542"/>
      <c r="B281" s="543"/>
      <c r="C281" s="543"/>
      <c r="D281" s="544"/>
      <c r="E281" s="544"/>
      <c r="F281" s="544"/>
      <c r="G281" s="544"/>
      <c r="H281" s="544"/>
      <c r="I281" s="543"/>
      <c r="J281" s="543"/>
      <c r="K281" s="544"/>
      <c r="L281" s="543"/>
      <c r="M281" s="544"/>
      <c r="N281" s="543"/>
      <c r="O281" s="544"/>
      <c r="P281" s="544"/>
      <c r="Q281" s="544"/>
      <c r="R281" s="544"/>
      <c r="S281" s="544"/>
    </row>
    <row r="282" ht="14.25" customHeight="1">
      <c r="A282" s="542"/>
      <c r="B282" s="543"/>
      <c r="C282" s="543"/>
      <c r="D282" s="544"/>
      <c r="E282" s="544"/>
      <c r="F282" s="544"/>
      <c r="G282" s="544"/>
      <c r="H282" s="544"/>
      <c r="I282" s="543"/>
      <c r="J282" s="543"/>
      <c r="K282" s="544"/>
      <c r="L282" s="543"/>
      <c r="M282" s="544"/>
      <c r="N282" s="543"/>
      <c r="O282" s="544"/>
      <c r="P282" s="544"/>
      <c r="Q282" s="544"/>
      <c r="R282" s="544"/>
      <c r="S282" s="544"/>
    </row>
    <row r="283" ht="14.25" customHeight="1">
      <c r="A283" s="542"/>
      <c r="B283" s="543"/>
      <c r="C283" s="543"/>
      <c r="D283" s="544"/>
      <c r="E283" s="544"/>
      <c r="F283" s="544"/>
      <c r="G283" s="544"/>
      <c r="H283" s="544"/>
      <c r="I283" s="543"/>
      <c r="J283" s="543"/>
      <c r="K283" s="544"/>
      <c r="L283" s="543"/>
      <c r="M283" s="544"/>
      <c r="N283" s="543"/>
      <c r="O283" s="544"/>
      <c r="P283" s="544"/>
      <c r="Q283" s="544"/>
      <c r="R283" s="544"/>
      <c r="S283" s="544"/>
    </row>
    <row r="284" ht="14.25" customHeight="1">
      <c r="A284" s="542"/>
      <c r="B284" s="543"/>
      <c r="C284" s="543"/>
      <c r="D284" s="544"/>
      <c r="E284" s="544"/>
      <c r="F284" s="544"/>
      <c r="G284" s="544"/>
      <c r="H284" s="544"/>
      <c r="I284" s="543"/>
      <c r="J284" s="543"/>
      <c r="K284" s="544"/>
      <c r="L284" s="543"/>
      <c r="M284" s="544"/>
      <c r="N284" s="543"/>
      <c r="O284" s="544"/>
      <c r="P284" s="544"/>
      <c r="Q284" s="544"/>
      <c r="R284" s="544"/>
      <c r="S284" s="544"/>
    </row>
    <row r="285" ht="14.25" customHeight="1">
      <c r="A285" s="542"/>
      <c r="B285" s="543"/>
      <c r="C285" s="543"/>
      <c r="D285" s="544"/>
      <c r="E285" s="544"/>
      <c r="F285" s="544"/>
      <c r="G285" s="544"/>
      <c r="H285" s="544"/>
      <c r="I285" s="543"/>
      <c r="J285" s="543"/>
      <c r="K285" s="544"/>
      <c r="L285" s="543"/>
      <c r="M285" s="544"/>
      <c r="N285" s="543"/>
      <c r="O285" s="544"/>
      <c r="P285" s="544"/>
      <c r="Q285" s="544"/>
      <c r="R285" s="544"/>
      <c r="S285" s="544"/>
    </row>
    <row r="286" ht="14.25" customHeight="1">
      <c r="A286" s="542"/>
      <c r="B286" s="543"/>
      <c r="C286" s="543"/>
      <c r="D286" s="544"/>
      <c r="E286" s="544"/>
      <c r="F286" s="544"/>
      <c r="G286" s="544"/>
      <c r="H286" s="544"/>
      <c r="I286" s="543"/>
      <c r="J286" s="543"/>
      <c r="K286" s="544"/>
      <c r="L286" s="543"/>
      <c r="M286" s="544"/>
      <c r="N286" s="543"/>
      <c r="O286" s="544"/>
      <c r="P286" s="544"/>
      <c r="Q286" s="544"/>
      <c r="R286" s="544"/>
      <c r="S286" s="544"/>
    </row>
    <row r="287" ht="14.25" customHeight="1">
      <c r="A287" s="542"/>
      <c r="B287" s="543"/>
      <c r="C287" s="543"/>
      <c r="D287" s="544"/>
      <c r="E287" s="544"/>
      <c r="F287" s="544"/>
      <c r="G287" s="544"/>
      <c r="H287" s="544"/>
      <c r="I287" s="543"/>
      <c r="J287" s="543"/>
      <c r="K287" s="544"/>
      <c r="L287" s="543"/>
      <c r="M287" s="544"/>
      <c r="N287" s="543"/>
      <c r="O287" s="544"/>
      <c r="P287" s="544"/>
      <c r="Q287" s="544"/>
      <c r="R287" s="544"/>
      <c r="S287" s="544"/>
    </row>
    <row r="288" ht="14.25" customHeight="1">
      <c r="A288" s="542"/>
      <c r="B288" s="543"/>
      <c r="C288" s="543"/>
      <c r="D288" s="544"/>
      <c r="E288" s="544"/>
      <c r="F288" s="544"/>
      <c r="G288" s="544"/>
      <c r="H288" s="544"/>
      <c r="I288" s="543"/>
      <c r="J288" s="543"/>
      <c r="K288" s="544"/>
      <c r="L288" s="543"/>
      <c r="M288" s="544"/>
      <c r="N288" s="543"/>
      <c r="O288" s="544"/>
      <c r="P288" s="544"/>
      <c r="Q288" s="544"/>
      <c r="R288" s="544"/>
      <c r="S288" s="544"/>
    </row>
    <row r="289" ht="14.25" customHeight="1">
      <c r="A289" s="542"/>
      <c r="B289" s="543"/>
      <c r="C289" s="543"/>
      <c r="D289" s="544"/>
      <c r="E289" s="544"/>
      <c r="F289" s="544"/>
      <c r="G289" s="544"/>
      <c r="H289" s="544"/>
      <c r="I289" s="543"/>
      <c r="J289" s="543"/>
      <c r="K289" s="544"/>
      <c r="L289" s="543"/>
      <c r="M289" s="544"/>
      <c r="N289" s="543"/>
      <c r="O289" s="544"/>
      <c r="P289" s="544"/>
      <c r="Q289" s="544"/>
      <c r="R289" s="544"/>
      <c r="S289" s="544"/>
    </row>
    <row r="290" ht="14.25" customHeight="1">
      <c r="A290" s="542"/>
      <c r="B290" s="543"/>
      <c r="C290" s="543"/>
      <c r="D290" s="544"/>
      <c r="E290" s="544"/>
      <c r="F290" s="544"/>
      <c r="G290" s="544"/>
      <c r="H290" s="544"/>
      <c r="I290" s="543"/>
      <c r="J290" s="543"/>
      <c r="K290" s="544"/>
      <c r="L290" s="543"/>
      <c r="M290" s="544"/>
      <c r="N290" s="543"/>
      <c r="O290" s="544"/>
      <c r="P290" s="544"/>
      <c r="Q290" s="544"/>
      <c r="R290" s="544"/>
      <c r="S290" s="544"/>
    </row>
    <row r="291" ht="14.25" customHeight="1">
      <c r="A291" s="542"/>
      <c r="B291" s="543"/>
      <c r="C291" s="543"/>
      <c r="D291" s="544"/>
      <c r="E291" s="544"/>
      <c r="F291" s="544"/>
      <c r="G291" s="544"/>
      <c r="H291" s="544"/>
      <c r="I291" s="543"/>
      <c r="J291" s="543"/>
      <c r="K291" s="544"/>
      <c r="L291" s="543"/>
      <c r="M291" s="544"/>
      <c r="N291" s="543"/>
      <c r="O291" s="544"/>
      <c r="P291" s="544"/>
      <c r="Q291" s="544"/>
      <c r="R291" s="544"/>
      <c r="S291" s="544"/>
    </row>
    <row r="292" ht="14.25" customHeight="1">
      <c r="A292" s="542"/>
      <c r="B292" s="543"/>
      <c r="C292" s="543"/>
      <c r="D292" s="544"/>
      <c r="E292" s="544"/>
      <c r="F292" s="544"/>
      <c r="G292" s="544"/>
      <c r="H292" s="544"/>
      <c r="I292" s="543"/>
      <c r="J292" s="543"/>
      <c r="K292" s="544"/>
      <c r="L292" s="543"/>
      <c r="M292" s="544"/>
      <c r="N292" s="543"/>
      <c r="O292" s="544"/>
      <c r="P292" s="544"/>
      <c r="Q292" s="544"/>
      <c r="R292" s="544"/>
      <c r="S292" s="544"/>
    </row>
    <row r="293" ht="14.25" customHeight="1">
      <c r="A293" s="542"/>
      <c r="B293" s="543"/>
      <c r="C293" s="543"/>
      <c r="D293" s="544"/>
      <c r="E293" s="544"/>
      <c r="F293" s="544"/>
      <c r="G293" s="544"/>
      <c r="H293" s="544"/>
      <c r="I293" s="543"/>
      <c r="J293" s="543"/>
      <c r="K293" s="544"/>
      <c r="L293" s="543"/>
      <c r="M293" s="544"/>
      <c r="N293" s="543"/>
      <c r="O293" s="544"/>
      <c r="P293" s="544"/>
      <c r="Q293" s="544"/>
      <c r="R293" s="544"/>
      <c r="S293" s="544"/>
    </row>
    <row r="294" ht="14.25" customHeight="1">
      <c r="A294" s="542"/>
      <c r="B294" s="543"/>
      <c r="C294" s="543"/>
      <c r="D294" s="544"/>
      <c r="E294" s="544"/>
      <c r="F294" s="544"/>
      <c r="G294" s="544"/>
      <c r="H294" s="544"/>
      <c r="I294" s="543"/>
      <c r="J294" s="543"/>
      <c r="K294" s="544"/>
      <c r="L294" s="543"/>
      <c r="M294" s="544"/>
      <c r="N294" s="543"/>
      <c r="O294" s="544"/>
      <c r="P294" s="544"/>
      <c r="Q294" s="544"/>
      <c r="R294" s="544"/>
      <c r="S294" s="544"/>
    </row>
    <row r="295" ht="14.25" customHeight="1">
      <c r="A295" s="542"/>
      <c r="B295" s="543"/>
      <c r="C295" s="543"/>
      <c r="D295" s="544"/>
      <c r="E295" s="544"/>
      <c r="F295" s="544"/>
      <c r="G295" s="544"/>
      <c r="H295" s="544"/>
      <c r="I295" s="543"/>
      <c r="J295" s="543"/>
      <c r="K295" s="544"/>
      <c r="L295" s="543"/>
      <c r="M295" s="544"/>
      <c r="N295" s="543"/>
      <c r="O295" s="544"/>
      <c r="P295" s="544"/>
      <c r="Q295" s="544"/>
      <c r="R295" s="544"/>
      <c r="S295" s="544"/>
    </row>
    <row r="296" ht="14.25" customHeight="1">
      <c r="A296" s="542"/>
      <c r="B296" s="543"/>
      <c r="C296" s="543"/>
      <c r="D296" s="544"/>
      <c r="E296" s="544"/>
      <c r="F296" s="544"/>
      <c r="G296" s="544"/>
      <c r="H296" s="544"/>
      <c r="I296" s="543"/>
      <c r="J296" s="543"/>
      <c r="K296" s="544"/>
      <c r="L296" s="543"/>
      <c r="M296" s="544"/>
      <c r="N296" s="543"/>
      <c r="O296" s="544"/>
      <c r="P296" s="544"/>
      <c r="Q296" s="544"/>
      <c r="R296" s="544"/>
      <c r="S296" s="544"/>
    </row>
    <row r="297" ht="14.25" customHeight="1">
      <c r="A297" s="542"/>
      <c r="B297" s="543"/>
      <c r="C297" s="543"/>
      <c r="D297" s="544"/>
      <c r="E297" s="544"/>
      <c r="F297" s="544"/>
      <c r="G297" s="544"/>
      <c r="H297" s="544"/>
      <c r="I297" s="543"/>
      <c r="J297" s="543"/>
      <c r="K297" s="544"/>
      <c r="L297" s="543"/>
      <c r="M297" s="544"/>
      <c r="N297" s="543"/>
      <c r="O297" s="544"/>
      <c r="P297" s="544"/>
      <c r="Q297" s="544"/>
      <c r="R297" s="544"/>
      <c r="S297" s="544"/>
    </row>
    <row r="298" ht="14.25" customHeight="1">
      <c r="A298" s="542"/>
      <c r="B298" s="543"/>
      <c r="C298" s="543"/>
      <c r="D298" s="544"/>
      <c r="E298" s="544"/>
      <c r="F298" s="544"/>
      <c r="G298" s="544"/>
      <c r="H298" s="544"/>
      <c r="I298" s="543"/>
      <c r="J298" s="543"/>
      <c r="K298" s="544"/>
      <c r="L298" s="543"/>
      <c r="M298" s="544"/>
      <c r="N298" s="543"/>
      <c r="O298" s="544"/>
      <c r="P298" s="544"/>
      <c r="Q298" s="544"/>
      <c r="R298" s="544"/>
      <c r="S298" s="544"/>
    </row>
    <row r="299" ht="14.25" customHeight="1">
      <c r="A299" s="542"/>
      <c r="B299" s="543"/>
      <c r="C299" s="543"/>
      <c r="D299" s="544"/>
      <c r="E299" s="544"/>
      <c r="F299" s="544"/>
      <c r="G299" s="544"/>
      <c r="H299" s="544"/>
      <c r="I299" s="543"/>
      <c r="J299" s="543"/>
      <c r="K299" s="544"/>
      <c r="L299" s="543"/>
      <c r="M299" s="544"/>
      <c r="N299" s="543"/>
      <c r="O299" s="544"/>
      <c r="P299" s="544"/>
      <c r="Q299" s="544"/>
      <c r="R299" s="544"/>
      <c r="S299" s="544"/>
    </row>
    <row r="300" ht="14.25" customHeight="1">
      <c r="A300" s="542"/>
      <c r="B300" s="543"/>
      <c r="C300" s="543"/>
      <c r="D300" s="544"/>
      <c r="E300" s="544"/>
      <c r="F300" s="544"/>
      <c r="G300" s="544"/>
      <c r="H300" s="544"/>
      <c r="I300" s="543"/>
      <c r="J300" s="543"/>
      <c r="K300" s="544"/>
      <c r="L300" s="543"/>
      <c r="M300" s="544"/>
      <c r="N300" s="543"/>
      <c r="O300" s="544"/>
      <c r="P300" s="544"/>
      <c r="Q300" s="544"/>
      <c r="R300" s="544"/>
      <c r="S300" s="544"/>
    </row>
    <row r="301" ht="14.25" customHeight="1">
      <c r="A301" s="542"/>
      <c r="B301" s="543"/>
      <c r="C301" s="543"/>
      <c r="D301" s="544"/>
      <c r="E301" s="544"/>
      <c r="F301" s="544"/>
      <c r="G301" s="544"/>
      <c r="H301" s="544"/>
      <c r="I301" s="543"/>
      <c r="J301" s="543"/>
      <c r="K301" s="544"/>
      <c r="L301" s="543"/>
      <c r="M301" s="544"/>
      <c r="N301" s="543"/>
      <c r="O301" s="544"/>
      <c r="P301" s="544"/>
      <c r="Q301" s="544"/>
      <c r="R301" s="544"/>
      <c r="S301" s="544"/>
    </row>
    <row r="302" ht="14.25" customHeight="1">
      <c r="A302" s="542"/>
      <c r="B302" s="543"/>
      <c r="C302" s="543"/>
      <c r="D302" s="544"/>
      <c r="E302" s="544"/>
      <c r="F302" s="544"/>
      <c r="G302" s="544"/>
      <c r="H302" s="544"/>
      <c r="I302" s="543"/>
      <c r="J302" s="543"/>
      <c r="K302" s="544"/>
      <c r="L302" s="543"/>
      <c r="M302" s="544"/>
      <c r="N302" s="543"/>
      <c r="O302" s="544"/>
      <c r="P302" s="544"/>
      <c r="Q302" s="544"/>
      <c r="R302" s="544"/>
      <c r="S302" s="544"/>
    </row>
    <row r="303" ht="14.25" customHeight="1">
      <c r="A303" s="542"/>
      <c r="B303" s="543"/>
      <c r="C303" s="543"/>
      <c r="D303" s="544"/>
      <c r="E303" s="544"/>
      <c r="F303" s="544"/>
      <c r="G303" s="544"/>
      <c r="H303" s="544"/>
      <c r="I303" s="543"/>
      <c r="J303" s="543"/>
      <c r="K303" s="544"/>
      <c r="L303" s="543"/>
      <c r="M303" s="544"/>
      <c r="N303" s="543"/>
      <c r="O303" s="544"/>
      <c r="P303" s="544"/>
      <c r="Q303" s="544"/>
      <c r="R303" s="544"/>
      <c r="S303" s="544"/>
    </row>
    <row r="304" ht="14.25" customHeight="1">
      <c r="A304" s="542"/>
      <c r="B304" s="543"/>
      <c r="C304" s="543"/>
      <c r="D304" s="544"/>
      <c r="E304" s="544"/>
      <c r="F304" s="544"/>
      <c r="G304" s="544"/>
      <c r="H304" s="544"/>
      <c r="I304" s="543"/>
      <c r="J304" s="543"/>
      <c r="K304" s="544"/>
      <c r="L304" s="543"/>
      <c r="M304" s="544"/>
      <c r="N304" s="543"/>
      <c r="O304" s="544"/>
      <c r="P304" s="544"/>
      <c r="Q304" s="544"/>
      <c r="R304" s="544"/>
      <c r="S304" s="544"/>
    </row>
    <row r="305" ht="14.25" customHeight="1">
      <c r="A305" s="542"/>
      <c r="B305" s="543"/>
      <c r="C305" s="543"/>
      <c r="D305" s="544"/>
      <c r="E305" s="544"/>
      <c r="F305" s="544"/>
      <c r="G305" s="544"/>
      <c r="H305" s="544"/>
      <c r="I305" s="543"/>
      <c r="J305" s="543"/>
      <c r="K305" s="544"/>
      <c r="L305" s="543"/>
      <c r="M305" s="544"/>
      <c r="N305" s="543"/>
      <c r="O305" s="544"/>
      <c r="P305" s="544"/>
      <c r="Q305" s="544"/>
      <c r="R305" s="544"/>
      <c r="S305" s="544"/>
    </row>
    <row r="306" ht="14.25" customHeight="1">
      <c r="A306" s="542"/>
      <c r="B306" s="543"/>
      <c r="C306" s="543"/>
      <c r="D306" s="544"/>
      <c r="E306" s="544"/>
      <c r="F306" s="544"/>
      <c r="G306" s="544"/>
      <c r="H306" s="544"/>
      <c r="I306" s="543"/>
      <c r="J306" s="543"/>
      <c r="K306" s="544"/>
      <c r="L306" s="543"/>
      <c r="M306" s="544"/>
      <c r="N306" s="543"/>
      <c r="O306" s="544"/>
      <c r="P306" s="544"/>
      <c r="Q306" s="544"/>
      <c r="R306" s="544"/>
      <c r="S306" s="544"/>
    </row>
    <row r="307" ht="14.25" customHeight="1">
      <c r="A307" s="542"/>
      <c r="B307" s="543"/>
      <c r="C307" s="543"/>
      <c r="D307" s="544"/>
      <c r="E307" s="544"/>
      <c r="F307" s="544"/>
      <c r="G307" s="544"/>
      <c r="H307" s="544"/>
      <c r="I307" s="543"/>
      <c r="J307" s="543"/>
      <c r="K307" s="544"/>
      <c r="L307" s="543"/>
      <c r="M307" s="544"/>
      <c r="N307" s="543"/>
      <c r="O307" s="544"/>
      <c r="P307" s="544"/>
      <c r="Q307" s="544"/>
      <c r="R307" s="544"/>
      <c r="S307" s="544"/>
    </row>
    <row r="308" ht="14.25" customHeight="1">
      <c r="A308" s="542"/>
      <c r="B308" s="543"/>
      <c r="C308" s="543"/>
      <c r="D308" s="544"/>
      <c r="E308" s="544"/>
      <c r="F308" s="544"/>
      <c r="G308" s="544"/>
      <c r="H308" s="544"/>
      <c r="I308" s="543"/>
      <c r="J308" s="543"/>
      <c r="K308" s="544"/>
      <c r="L308" s="543"/>
      <c r="M308" s="544"/>
      <c r="N308" s="543"/>
      <c r="O308" s="544"/>
      <c r="P308" s="544"/>
      <c r="Q308" s="544"/>
      <c r="R308" s="544"/>
      <c r="S308" s="544"/>
    </row>
    <row r="309" ht="14.25" customHeight="1">
      <c r="A309" s="542"/>
      <c r="B309" s="543"/>
      <c r="C309" s="543"/>
      <c r="D309" s="544"/>
      <c r="E309" s="544"/>
      <c r="F309" s="544"/>
      <c r="G309" s="544"/>
      <c r="H309" s="544"/>
      <c r="I309" s="543"/>
      <c r="J309" s="543"/>
      <c r="K309" s="544"/>
      <c r="L309" s="543"/>
      <c r="M309" s="544"/>
      <c r="N309" s="543"/>
      <c r="O309" s="544"/>
      <c r="P309" s="544"/>
      <c r="Q309" s="544"/>
      <c r="R309" s="544"/>
      <c r="S309" s="544"/>
    </row>
    <row r="310" ht="14.25" customHeight="1">
      <c r="A310" s="542"/>
      <c r="B310" s="543"/>
      <c r="C310" s="543"/>
      <c r="D310" s="544"/>
      <c r="E310" s="544"/>
      <c r="F310" s="544"/>
      <c r="G310" s="544"/>
      <c r="H310" s="544"/>
      <c r="I310" s="543"/>
      <c r="J310" s="543"/>
      <c r="K310" s="544"/>
      <c r="L310" s="543"/>
      <c r="M310" s="544"/>
      <c r="N310" s="543"/>
      <c r="O310" s="544"/>
      <c r="P310" s="544"/>
      <c r="Q310" s="544"/>
      <c r="R310" s="544"/>
      <c r="S310" s="544"/>
    </row>
    <row r="311" ht="14.25" customHeight="1">
      <c r="A311" s="542"/>
      <c r="B311" s="543"/>
      <c r="C311" s="543"/>
      <c r="D311" s="544"/>
      <c r="E311" s="544"/>
      <c r="F311" s="544"/>
      <c r="G311" s="544"/>
      <c r="H311" s="544"/>
      <c r="I311" s="543"/>
      <c r="J311" s="543"/>
      <c r="K311" s="544"/>
      <c r="L311" s="543"/>
      <c r="M311" s="544"/>
      <c r="N311" s="543"/>
      <c r="O311" s="544"/>
      <c r="P311" s="544"/>
      <c r="Q311" s="544"/>
      <c r="R311" s="544"/>
      <c r="S311" s="544"/>
    </row>
    <row r="312" ht="14.25" customHeight="1">
      <c r="A312" s="542"/>
      <c r="B312" s="543"/>
      <c r="C312" s="543"/>
      <c r="D312" s="544"/>
      <c r="E312" s="544"/>
      <c r="F312" s="544"/>
      <c r="G312" s="544"/>
      <c r="H312" s="544"/>
      <c r="I312" s="543"/>
      <c r="J312" s="543"/>
      <c r="K312" s="544"/>
      <c r="L312" s="543"/>
      <c r="M312" s="544"/>
      <c r="N312" s="543"/>
      <c r="O312" s="544"/>
      <c r="P312" s="544"/>
      <c r="Q312" s="544"/>
      <c r="R312" s="544"/>
      <c r="S312" s="544"/>
    </row>
    <row r="313" ht="14.25" customHeight="1">
      <c r="A313" s="542"/>
      <c r="B313" s="543"/>
      <c r="C313" s="543"/>
      <c r="D313" s="544"/>
      <c r="E313" s="544"/>
      <c r="F313" s="544"/>
      <c r="G313" s="544"/>
      <c r="H313" s="544"/>
      <c r="I313" s="543"/>
      <c r="J313" s="543"/>
      <c r="K313" s="544"/>
      <c r="L313" s="543"/>
      <c r="M313" s="544"/>
      <c r="N313" s="543"/>
      <c r="O313" s="544"/>
      <c r="P313" s="544"/>
      <c r="Q313" s="544"/>
      <c r="R313" s="544"/>
      <c r="S313" s="544"/>
    </row>
    <row r="314" ht="14.25" customHeight="1">
      <c r="A314" s="542"/>
      <c r="B314" s="543"/>
      <c r="C314" s="543"/>
      <c r="D314" s="544"/>
      <c r="E314" s="544"/>
      <c r="F314" s="544"/>
      <c r="G314" s="544"/>
      <c r="H314" s="544"/>
      <c r="I314" s="543"/>
      <c r="J314" s="543"/>
      <c r="K314" s="544"/>
      <c r="L314" s="543"/>
      <c r="M314" s="544"/>
      <c r="N314" s="543"/>
      <c r="O314" s="544"/>
      <c r="P314" s="544"/>
      <c r="Q314" s="544"/>
      <c r="R314" s="544"/>
      <c r="S314" s="544"/>
    </row>
    <row r="315" ht="14.25" customHeight="1">
      <c r="A315" s="542"/>
      <c r="B315" s="543"/>
      <c r="C315" s="543"/>
      <c r="D315" s="544"/>
      <c r="E315" s="544"/>
      <c r="F315" s="544"/>
      <c r="G315" s="544"/>
      <c r="H315" s="544"/>
      <c r="I315" s="543"/>
      <c r="J315" s="543"/>
      <c r="K315" s="544"/>
      <c r="L315" s="543"/>
      <c r="M315" s="544"/>
      <c r="N315" s="543"/>
      <c r="O315" s="544"/>
      <c r="P315" s="544"/>
      <c r="Q315" s="544"/>
      <c r="R315" s="544"/>
      <c r="S315" s="544"/>
    </row>
    <row r="316" ht="14.25" customHeight="1">
      <c r="A316" s="542"/>
      <c r="B316" s="543"/>
      <c r="C316" s="543"/>
      <c r="D316" s="544"/>
      <c r="E316" s="544"/>
      <c r="F316" s="544"/>
      <c r="G316" s="544"/>
      <c r="H316" s="544"/>
      <c r="I316" s="543"/>
      <c r="J316" s="543"/>
      <c r="K316" s="544"/>
      <c r="L316" s="543"/>
      <c r="M316" s="544"/>
      <c r="N316" s="543"/>
      <c r="O316" s="544"/>
      <c r="P316" s="544"/>
      <c r="Q316" s="544"/>
      <c r="R316" s="544"/>
      <c r="S316" s="544"/>
    </row>
    <row r="317" ht="14.25" customHeight="1">
      <c r="A317" s="542"/>
      <c r="B317" s="543"/>
      <c r="C317" s="543"/>
      <c r="D317" s="544"/>
      <c r="E317" s="544"/>
      <c r="F317" s="544"/>
      <c r="G317" s="544"/>
      <c r="H317" s="544"/>
      <c r="I317" s="543"/>
      <c r="J317" s="543"/>
      <c r="K317" s="544"/>
      <c r="L317" s="543"/>
      <c r="M317" s="544"/>
      <c r="N317" s="543"/>
      <c r="O317" s="544"/>
      <c r="P317" s="544"/>
      <c r="Q317" s="544"/>
      <c r="R317" s="544"/>
      <c r="S317" s="544"/>
    </row>
    <row r="318" ht="14.25" customHeight="1">
      <c r="A318" s="542"/>
      <c r="B318" s="543"/>
      <c r="C318" s="543"/>
      <c r="D318" s="544"/>
      <c r="E318" s="544"/>
      <c r="F318" s="544"/>
      <c r="G318" s="544"/>
      <c r="H318" s="544"/>
      <c r="I318" s="543"/>
      <c r="J318" s="543"/>
      <c r="K318" s="544"/>
      <c r="L318" s="543"/>
      <c r="M318" s="544"/>
      <c r="N318" s="543"/>
      <c r="O318" s="544"/>
      <c r="P318" s="544"/>
      <c r="Q318" s="544"/>
      <c r="R318" s="544"/>
      <c r="S318" s="544"/>
    </row>
    <row r="319" ht="14.25" customHeight="1">
      <c r="A319" s="542"/>
      <c r="B319" s="543"/>
      <c r="C319" s="543"/>
      <c r="D319" s="544"/>
      <c r="E319" s="544"/>
      <c r="F319" s="544"/>
      <c r="G319" s="544"/>
      <c r="H319" s="544"/>
      <c r="I319" s="543"/>
      <c r="J319" s="543"/>
      <c r="K319" s="544"/>
      <c r="L319" s="543"/>
      <c r="M319" s="544"/>
      <c r="N319" s="543"/>
      <c r="O319" s="544"/>
      <c r="P319" s="544"/>
      <c r="Q319" s="544"/>
      <c r="R319" s="544"/>
      <c r="S319" s="544"/>
    </row>
    <row r="320" ht="14.25" customHeight="1">
      <c r="A320" s="542"/>
      <c r="B320" s="543"/>
      <c r="C320" s="543"/>
      <c r="D320" s="544"/>
      <c r="E320" s="544"/>
      <c r="F320" s="544"/>
      <c r="G320" s="544"/>
      <c r="H320" s="544"/>
      <c r="I320" s="543"/>
      <c r="J320" s="543"/>
      <c r="K320" s="544"/>
      <c r="L320" s="543"/>
      <c r="M320" s="544"/>
      <c r="N320" s="543"/>
      <c r="O320" s="544"/>
      <c r="P320" s="544"/>
      <c r="Q320" s="544"/>
      <c r="R320" s="544"/>
      <c r="S320" s="544"/>
    </row>
    <row r="321" ht="14.25" customHeight="1">
      <c r="A321" s="542"/>
      <c r="B321" s="543"/>
      <c r="C321" s="543"/>
      <c r="D321" s="544"/>
      <c r="E321" s="544"/>
      <c r="F321" s="544"/>
      <c r="G321" s="544"/>
      <c r="H321" s="544"/>
      <c r="I321" s="543"/>
      <c r="J321" s="543"/>
      <c r="K321" s="544"/>
      <c r="L321" s="543"/>
      <c r="M321" s="544"/>
      <c r="N321" s="543"/>
      <c r="O321" s="544"/>
      <c r="P321" s="544"/>
      <c r="Q321" s="544"/>
      <c r="R321" s="544"/>
      <c r="S321" s="544"/>
    </row>
    <row r="322" ht="14.25" customHeight="1">
      <c r="A322" s="542"/>
      <c r="B322" s="543"/>
      <c r="C322" s="543"/>
      <c r="D322" s="544"/>
      <c r="E322" s="544"/>
      <c r="F322" s="544"/>
      <c r="G322" s="544"/>
      <c r="H322" s="544"/>
      <c r="I322" s="543"/>
      <c r="J322" s="543"/>
      <c r="K322" s="544"/>
      <c r="L322" s="543"/>
      <c r="M322" s="544"/>
      <c r="N322" s="543"/>
      <c r="O322" s="544"/>
      <c r="P322" s="544"/>
      <c r="Q322" s="544"/>
      <c r="R322" s="544"/>
      <c r="S322" s="544"/>
    </row>
    <row r="323" ht="14.25" customHeight="1">
      <c r="A323" s="542"/>
      <c r="B323" s="543"/>
      <c r="C323" s="543"/>
      <c r="D323" s="544"/>
      <c r="E323" s="544"/>
      <c r="F323" s="544"/>
      <c r="G323" s="544"/>
      <c r="H323" s="544"/>
      <c r="I323" s="543"/>
      <c r="J323" s="543"/>
      <c r="K323" s="544"/>
      <c r="L323" s="543"/>
      <c r="M323" s="544"/>
      <c r="N323" s="543"/>
      <c r="O323" s="544"/>
      <c r="P323" s="544"/>
      <c r="Q323" s="544"/>
      <c r="R323" s="544"/>
      <c r="S323" s="544"/>
    </row>
    <row r="324" ht="14.25" customHeight="1">
      <c r="A324" s="542"/>
      <c r="B324" s="543"/>
      <c r="C324" s="543"/>
      <c r="D324" s="544"/>
      <c r="E324" s="544"/>
      <c r="F324" s="544"/>
      <c r="G324" s="544"/>
      <c r="H324" s="544"/>
      <c r="I324" s="543"/>
      <c r="J324" s="543"/>
      <c r="K324" s="544"/>
      <c r="L324" s="543"/>
      <c r="M324" s="544"/>
      <c r="N324" s="543"/>
      <c r="O324" s="544"/>
      <c r="P324" s="544"/>
      <c r="Q324" s="544"/>
      <c r="R324" s="544"/>
      <c r="S324" s="544"/>
    </row>
    <row r="325" ht="14.25" customHeight="1">
      <c r="A325" s="542"/>
      <c r="B325" s="543"/>
      <c r="C325" s="543"/>
      <c r="D325" s="544"/>
      <c r="E325" s="544"/>
      <c r="F325" s="544"/>
      <c r="G325" s="544"/>
      <c r="H325" s="544"/>
      <c r="I325" s="543"/>
      <c r="J325" s="543"/>
      <c r="K325" s="544"/>
      <c r="L325" s="543"/>
      <c r="M325" s="544"/>
      <c r="N325" s="543"/>
      <c r="O325" s="544"/>
      <c r="P325" s="544"/>
      <c r="Q325" s="544"/>
      <c r="R325" s="544"/>
      <c r="S325" s="544"/>
    </row>
    <row r="326" ht="14.25" customHeight="1">
      <c r="A326" s="542"/>
      <c r="B326" s="543"/>
      <c r="C326" s="543"/>
      <c r="D326" s="544"/>
      <c r="E326" s="544"/>
      <c r="F326" s="544"/>
      <c r="G326" s="544"/>
      <c r="H326" s="544"/>
      <c r="I326" s="543"/>
      <c r="J326" s="543"/>
      <c r="K326" s="544"/>
      <c r="L326" s="543"/>
      <c r="M326" s="544"/>
      <c r="N326" s="543"/>
      <c r="O326" s="544"/>
      <c r="P326" s="544"/>
      <c r="Q326" s="544"/>
      <c r="R326" s="544"/>
      <c r="S326" s="544"/>
    </row>
    <row r="327" ht="14.25" customHeight="1">
      <c r="A327" s="542"/>
      <c r="B327" s="543"/>
      <c r="C327" s="543"/>
      <c r="D327" s="544"/>
      <c r="E327" s="544"/>
      <c r="F327" s="544"/>
      <c r="G327" s="544"/>
      <c r="H327" s="544"/>
      <c r="I327" s="543"/>
      <c r="J327" s="543"/>
      <c r="K327" s="544"/>
      <c r="L327" s="543"/>
      <c r="M327" s="544"/>
      <c r="N327" s="543"/>
      <c r="O327" s="544"/>
      <c r="P327" s="544"/>
      <c r="Q327" s="544"/>
      <c r="R327" s="544"/>
      <c r="S327" s="544"/>
    </row>
    <row r="328" ht="14.25" customHeight="1">
      <c r="A328" s="542"/>
      <c r="B328" s="543"/>
      <c r="C328" s="543"/>
      <c r="D328" s="544"/>
      <c r="E328" s="544"/>
      <c r="F328" s="544"/>
      <c r="G328" s="544"/>
      <c r="H328" s="544"/>
      <c r="I328" s="543"/>
      <c r="J328" s="543"/>
      <c r="K328" s="544"/>
      <c r="L328" s="543"/>
      <c r="M328" s="544"/>
      <c r="N328" s="543"/>
      <c r="O328" s="544"/>
      <c r="P328" s="544"/>
      <c r="Q328" s="544"/>
      <c r="R328" s="544"/>
      <c r="S328" s="544"/>
    </row>
    <row r="329" ht="14.25" customHeight="1">
      <c r="A329" s="542"/>
      <c r="B329" s="543"/>
      <c r="C329" s="543"/>
      <c r="D329" s="544"/>
      <c r="E329" s="544"/>
      <c r="F329" s="544"/>
      <c r="G329" s="544"/>
      <c r="H329" s="544"/>
      <c r="I329" s="543"/>
      <c r="J329" s="543"/>
      <c r="K329" s="544"/>
      <c r="L329" s="543"/>
      <c r="M329" s="544"/>
      <c r="N329" s="543"/>
      <c r="O329" s="544"/>
      <c r="P329" s="544"/>
      <c r="Q329" s="544"/>
      <c r="R329" s="544"/>
      <c r="S329" s="544"/>
    </row>
    <row r="330" ht="14.25" customHeight="1">
      <c r="A330" s="542"/>
      <c r="B330" s="543"/>
      <c r="C330" s="543"/>
      <c r="D330" s="544"/>
      <c r="E330" s="544"/>
      <c r="F330" s="544"/>
      <c r="G330" s="544"/>
      <c r="H330" s="544"/>
      <c r="I330" s="543"/>
      <c r="J330" s="543"/>
      <c r="K330" s="544"/>
      <c r="L330" s="543"/>
      <c r="M330" s="544"/>
      <c r="N330" s="543"/>
      <c r="O330" s="544"/>
      <c r="P330" s="544"/>
      <c r="Q330" s="544"/>
      <c r="R330" s="544"/>
      <c r="S330" s="544"/>
    </row>
    <row r="331" ht="14.25" customHeight="1">
      <c r="A331" s="542"/>
      <c r="B331" s="543"/>
      <c r="C331" s="543"/>
      <c r="D331" s="544"/>
      <c r="E331" s="544"/>
      <c r="F331" s="544"/>
      <c r="G331" s="544"/>
      <c r="H331" s="544"/>
      <c r="I331" s="543"/>
      <c r="J331" s="543"/>
      <c r="K331" s="544"/>
      <c r="L331" s="543"/>
      <c r="M331" s="544"/>
      <c r="N331" s="543"/>
      <c r="O331" s="544"/>
      <c r="P331" s="544"/>
      <c r="Q331" s="544"/>
      <c r="R331" s="544"/>
      <c r="S331" s="544"/>
    </row>
    <row r="332" ht="14.25" customHeight="1">
      <c r="A332" s="542"/>
      <c r="B332" s="543"/>
      <c r="C332" s="543"/>
      <c r="D332" s="544"/>
      <c r="E332" s="544"/>
      <c r="F332" s="544"/>
      <c r="G332" s="544"/>
      <c r="H332" s="544"/>
      <c r="I332" s="543"/>
      <c r="J332" s="543"/>
      <c r="K332" s="544"/>
      <c r="L332" s="543"/>
      <c r="M332" s="544"/>
      <c r="N332" s="543"/>
      <c r="O332" s="544"/>
      <c r="P332" s="544"/>
      <c r="Q332" s="544"/>
      <c r="R332" s="544"/>
      <c r="S332" s="544"/>
    </row>
    <row r="333" ht="14.25" customHeight="1">
      <c r="A333" s="542"/>
      <c r="B333" s="543"/>
      <c r="C333" s="543"/>
      <c r="D333" s="544"/>
      <c r="E333" s="544"/>
      <c r="F333" s="544"/>
      <c r="G333" s="544"/>
      <c r="H333" s="544"/>
      <c r="I333" s="543"/>
      <c r="J333" s="543"/>
      <c r="K333" s="544"/>
      <c r="L333" s="543"/>
      <c r="M333" s="544"/>
      <c r="N333" s="543"/>
      <c r="O333" s="544"/>
      <c r="P333" s="544"/>
      <c r="Q333" s="544"/>
      <c r="R333" s="544"/>
      <c r="S333" s="544"/>
    </row>
    <row r="334" ht="14.25" customHeight="1">
      <c r="A334" s="542"/>
      <c r="B334" s="543"/>
      <c r="C334" s="543"/>
      <c r="D334" s="544"/>
      <c r="E334" s="544"/>
      <c r="F334" s="544"/>
      <c r="G334" s="544"/>
      <c r="H334" s="544"/>
      <c r="I334" s="543"/>
      <c r="J334" s="543"/>
      <c r="K334" s="544"/>
      <c r="L334" s="543"/>
      <c r="M334" s="544"/>
      <c r="N334" s="543"/>
      <c r="O334" s="544"/>
      <c r="P334" s="544"/>
      <c r="Q334" s="544"/>
      <c r="R334" s="544"/>
      <c r="S334" s="544"/>
    </row>
    <row r="335" ht="14.25" customHeight="1">
      <c r="A335" s="542"/>
      <c r="B335" s="543"/>
      <c r="C335" s="543"/>
      <c r="D335" s="544"/>
      <c r="E335" s="544"/>
      <c r="F335" s="544"/>
      <c r="G335" s="544"/>
      <c r="H335" s="544"/>
      <c r="I335" s="543"/>
      <c r="J335" s="543"/>
      <c r="K335" s="544"/>
      <c r="L335" s="543"/>
      <c r="M335" s="544"/>
      <c r="N335" s="543"/>
      <c r="O335" s="544"/>
      <c r="P335" s="544"/>
      <c r="Q335" s="544"/>
      <c r="R335" s="544"/>
      <c r="S335" s="544"/>
    </row>
    <row r="336" ht="14.25" customHeight="1">
      <c r="A336" s="542"/>
      <c r="B336" s="543"/>
      <c r="C336" s="543"/>
      <c r="D336" s="544"/>
      <c r="E336" s="544"/>
      <c r="F336" s="544"/>
      <c r="G336" s="544"/>
      <c r="H336" s="544"/>
      <c r="I336" s="543"/>
      <c r="J336" s="543"/>
      <c r="K336" s="544"/>
      <c r="L336" s="543"/>
      <c r="M336" s="544"/>
      <c r="N336" s="543"/>
      <c r="O336" s="544"/>
      <c r="P336" s="544"/>
      <c r="Q336" s="544"/>
      <c r="R336" s="544"/>
      <c r="S336" s="544"/>
    </row>
    <row r="337" ht="14.25" customHeight="1">
      <c r="A337" s="542"/>
      <c r="B337" s="543"/>
      <c r="C337" s="543"/>
      <c r="D337" s="544"/>
      <c r="E337" s="544"/>
      <c r="F337" s="544"/>
      <c r="G337" s="544"/>
      <c r="H337" s="544"/>
      <c r="I337" s="543"/>
      <c r="J337" s="543"/>
      <c r="K337" s="544"/>
      <c r="L337" s="543"/>
      <c r="M337" s="544"/>
      <c r="N337" s="543"/>
      <c r="O337" s="544"/>
      <c r="P337" s="544"/>
      <c r="Q337" s="544"/>
      <c r="R337" s="544"/>
      <c r="S337" s="544"/>
    </row>
    <row r="338" ht="14.25" customHeight="1">
      <c r="A338" s="542"/>
      <c r="B338" s="543"/>
      <c r="C338" s="543"/>
      <c r="D338" s="544"/>
      <c r="E338" s="544"/>
      <c r="F338" s="544"/>
      <c r="G338" s="544"/>
      <c r="H338" s="544"/>
      <c r="I338" s="543"/>
      <c r="J338" s="543"/>
      <c r="K338" s="544"/>
      <c r="L338" s="543"/>
      <c r="M338" s="544"/>
      <c r="N338" s="543"/>
      <c r="O338" s="544"/>
      <c r="P338" s="544"/>
      <c r="Q338" s="544"/>
      <c r="R338" s="544"/>
      <c r="S338" s="544"/>
    </row>
    <row r="339" ht="14.25" customHeight="1">
      <c r="A339" s="542"/>
      <c r="B339" s="543"/>
      <c r="C339" s="543"/>
      <c r="D339" s="544"/>
      <c r="E339" s="544"/>
      <c r="F339" s="544"/>
      <c r="G339" s="544"/>
      <c r="H339" s="544"/>
      <c r="I339" s="543"/>
      <c r="J339" s="543"/>
      <c r="K339" s="544"/>
      <c r="L339" s="543"/>
      <c r="M339" s="544"/>
      <c r="N339" s="543"/>
      <c r="O339" s="544"/>
      <c r="P339" s="544"/>
      <c r="Q339" s="544"/>
      <c r="R339" s="544"/>
      <c r="S339" s="544"/>
    </row>
    <row r="340" ht="14.25" customHeight="1">
      <c r="A340" s="542"/>
      <c r="B340" s="543"/>
      <c r="C340" s="543"/>
      <c r="D340" s="544"/>
      <c r="E340" s="544"/>
      <c r="F340" s="544"/>
      <c r="G340" s="544"/>
      <c r="H340" s="544"/>
      <c r="I340" s="543"/>
      <c r="J340" s="543"/>
      <c r="K340" s="544"/>
      <c r="L340" s="543"/>
      <c r="M340" s="544"/>
      <c r="N340" s="543"/>
      <c r="O340" s="544"/>
      <c r="P340" s="544"/>
      <c r="Q340" s="544"/>
      <c r="R340" s="544"/>
      <c r="S340" s="544"/>
    </row>
    <row r="341" ht="14.25" customHeight="1">
      <c r="A341" s="542"/>
      <c r="B341" s="543"/>
      <c r="C341" s="543"/>
      <c r="D341" s="544"/>
      <c r="E341" s="544"/>
      <c r="F341" s="544"/>
      <c r="G341" s="544"/>
      <c r="H341" s="544"/>
      <c r="I341" s="543"/>
      <c r="J341" s="543"/>
      <c r="K341" s="544"/>
      <c r="L341" s="543"/>
      <c r="M341" s="544"/>
      <c r="N341" s="543"/>
      <c r="O341" s="544"/>
      <c r="P341" s="544"/>
      <c r="Q341" s="544"/>
      <c r="R341" s="544"/>
      <c r="S341" s="544"/>
    </row>
    <row r="342" ht="14.25" customHeight="1">
      <c r="A342" s="542"/>
      <c r="B342" s="543"/>
      <c r="C342" s="543"/>
      <c r="D342" s="544"/>
      <c r="E342" s="544"/>
      <c r="F342" s="544"/>
      <c r="G342" s="544"/>
      <c r="H342" s="544"/>
      <c r="I342" s="543"/>
      <c r="J342" s="543"/>
      <c r="K342" s="544"/>
      <c r="L342" s="543"/>
      <c r="M342" s="544"/>
      <c r="N342" s="543"/>
      <c r="O342" s="544"/>
      <c r="P342" s="544"/>
      <c r="Q342" s="544"/>
      <c r="R342" s="544"/>
      <c r="S342" s="544"/>
    </row>
    <row r="343" ht="14.25" customHeight="1">
      <c r="A343" s="542"/>
      <c r="B343" s="543"/>
      <c r="C343" s="543"/>
      <c r="D343" s="544"/>
      <c r="E343" s="544"/>
      <c r="F343" s="544"/>
      <c r="G343" s="544"/>
      <c r="H343" s="544"/>
      <c r="I343" s="543"/>
      <c r="J343" s="543"/>
      <c r="K343" s="544"/>
      <c r="L343" s="543"/>
      <c r="M343" s="544"/>
      <c r="N343" s="543"/>
      <c r="O343" s="544"/>
      <c r="P343" s="544"/>
      <c r="Q343" s="544"/>
      <c r="R343" s="544"/>
      <c r="S343" s="544"/>
    </row>
    <row r="344" ht="14.25" customHeight="1">
      <c r="A344" s="542"/>
      <c r="B344" s="543"/>
      <c r="C344" s="543"/>
      <c r="D344" s="544"/>
      <c r="E344" s="544"/>
      <c r="F344" s="544"/>
      <c r="G344" s="544"/>
      <c r="H344" s="544"/>
      <c r="I344" s="543"/>
      <c r="J344" s="543"/>
      <c r="K344" s="544"/>
      <c r="L344" s="543"/>
      <c r="M344" s="544"/>
      <c r="N344" s="543"/>
      <c r="O344" s="544"/>
      <c r="P344" s="544"/>
      <c r="Q344" s="544"/>
      <c r="R344" s="544"/>
      <c r="S344" s="544"/>
    </row>
    <row r="345" ht="14.25" customHeight="1">
      <c r="A345" s="542"/>
      <c r="B345" s="543"/>
      <c r="C345" s="543"/>
      <c r="D345" s="544"/>
      <c r="E345" s="544"/>
      <c r="F345" s="544"/>
      <c r="G345" s="544"/>
      <c r="H345" s="544"/>
      <c r="I345" s="543"/>
      <c r="J345" s="543"/>
      <c r="K345" s="544"/>
      <c r="L345" s="543"/>
      <c r="M345" s="544"/>
      <c r="N345" s="543"/>
      <c r="O345" s="544"/>
      <c r="P345" s="544"/>
      <c r="Q345" s="544"/>
      <c r="R345" s="544"/>
      <c r="S345" s="544"/>
    </row>
    <row r="346" ht="14.25" customHeight="1">
      <c r="A346" s="542"/>
      <c r="B346" s="543"/>
      <c r="C346" s="543"/>
      <c r="D346" s="544"/>
      <c r="E346" s="544"/>
      <c r="F346" s="544"/>
      <c r="G346" s="544"/>
      <c r="H346" s="544"/>
      <c r="I346" s="543"/>
      <c r="J346" s="543"/>
      <c r="K346" s="544"/>
      <c r="L346" s="543"/>
      <c r="M346" s="544"/>
      <c r="N346" s="543"/>
      <c r="O346" s="544"/>
      <c r="P346" s="544"/>
      <c r="Q346" s="544"/>
      <c r="R346" s="544"/>
      <c r="S346" s="544"/>
    </row>
    <row r="347" ht="14.25" customHeight="1">
      <c r="A347" s="542"/>
      <c r="B347" s="543"/>
      <c r="C347" s="543"/>
      <c r="D347" s="544"/>
      <c r="E347" s="544"/>
      <c r="F347" s="544"/>
      <c r="G347" s="544"/>
      <c r="H347" s="544"/>
      <c r="I347" s="543"/>
      <c r="J347" s="543"/>
      <c r="K347" s="544"/>
      <c r="L347" s="543"/>
      <c r="M347" s="544"/>
      <c r="N347" s="543"/>
      <c r="O347" s="544"/>
      <c r="P347" s="544"/>
      <c r="Q347" s="544"/>
      <c r="R347" s="544"/>
      <c r="S347" s="544"/>
    </row>
    <row r="348" ht="14.25" customHeight="1">
      <c r="A348" s="542"/>
      <c r="B348" s="543"/>
      <c r="C348" s="543"/>
      <c r="D348" s="544"/>
      <c r="E348" s="544"/>
      <c r="F348" s="544"/>
      <c r="G348" s="544"/>
      <c r="H348" s="544"/>
      <c r="I348" s="543"/>
      <c r="J348" s="543"/>
      <c r="K348" s="544"/>
      <c r="L348" s="543"/>
      <c r="M348" s="544"/>
      <c r="N348" s="543"/>
      <c r="O348" s="544"/>
      <c r="P348" s="544"/>
      <c r="Q348" s="544"/>
      <c r="R348" s="544"/>
      <c r="S348" s="544"/>
    </row>
    <row r="349" ht="14.25" customHeight="1">
      <c r="A349" s="542"/>
      <c r="B349" s="543"/>
      <c r="C349" s="543"/>
      <c r="D349" s="544"/>
      <c r="E349" s="544"/>
      <c r="F349" s="544"/>
      <c r="G349" s="544"/>
      <c r="H349" s="544"/>
      <c r="I349" s="543"/>
      <c r="J349" s="543"/>
      <c r="K349" s="544"/>
      <c r="L349" s="543"/>
      <c r="M349" s="544"/>
      <c r="N349" s="543"/>
      <c r="O349" s="544"/>
      <c r="P349" s="544"/>
      <c r="Q349" s="544"/>
      <c r="R349" s="544"/>
      <c r="S349" s="544"/>
    </row>
    <row r="350" ht="14.25" customHeight="1">
      <c r="A350" s="542"/>
      <c r="B350" s="543"/>
      <c r="C350" s="543"/>
      <c r="D350" s="544"/>
      <c r="E350" s="544"/>
      <c r="F350" s="544"/>
      <c r="G350" s="544"/>
      <c r="H350" s="544"/>
      <c r="I350" s="543"/>
      <c r="J350" s="543"/>
      <c r="K350" s="544"/>
      <c r="L350" s="543"/>
      <c r="M350" s="544"/>
      <c r="N350" s="543"/>
      <c r="O350" s="544"/>
      <c r="P350" s="544"/>
      <c r="Q350" s="544"/>
      <c r="R350" s="544"/>
      <c r="S350" s="544"/>
    </row>
    <row r="351" ht="14.25" customHeight="1">
      <c r="A351" s="542"/>
      <c r="B351" s="543"/>
      <c r="C351" s="543"/>
      <c r="D351" s="544"/>
      <c r="E351" s="544"/>
      <c r="F351" s="544"/>
      <c r="G351" s="544"/>
      <c r="H351" s="544"/>
      <c r="I351" s="543"/>
      <c r="J351" s="543"/>
      <c r="K351" s="544"/>
      <c r="L351" s="543"/>
      <c r="M351" s="544"/>
      <c r="N351" s="543"/>
      <c r="O351" s="544"/>
      <c r="P351" s="544"/>
      <c r="Q351" s="544"/>
      <c r="R351" s="544"/>
      <c r="S351" s="544"/>
    </row>
    <row r="352" ht="14.25" customHeight="1">
      <c r="A352" s="542"/>
      <c r="B352" s="543"/>
      <c r="C352" s="543"/>
      <c r="D352" s="544"/>
      <c r="E352" s="544"/>
      <c r="F352" s="544"/>
      <c r="G352" s="544"/>
      <c r="H352" s="544"/>
      <c r="I352" s="543"/>
      <c r="J352" s="543"/>
      <c r="K352" s="544"/>
      <c r="L352" s="543"/>
      <c r="M352" s="544"/>
      <c r="N352" s="543"/>
      <c r="O352" s="544"/>
      <c r="P352" s="544"/>
      <c r="Q352" s="544"/>
      <c r="R352" s="544"/>
      <c r="S352" s="544"/>
    </row>
    <row r="353" ht="14.25" customHeight="1">
      <c r="A353" s="542"/>
      <c r="B353" s="543"/>
      <c r="C353" s="543"/>
      <c r="D353" s="544"/>
      <c r="E353" s="544"/>
      <c r="F353" s="544"/>
      <c r="G353" s="544"/>
      <c r="H353" s="544"/>
      <c r="I353" s="543"/>
      <c r="J353" s="543"/>
      <c r="K353" s="544"/>
      <c r="L353" s="543"/>
      <c r="M353" s="544"/>
      <c r="N353" s="543"/>
      <c r="O353" s="544"/>
      <c r="P353" s="544"/>
      <c r="Q353" s="544"/>
      <c r="R353" s="544"/>
      <c r="S353" s="544"/>
    </row>
    <row r="354" ht="14.25" customHeight="1">
      <c r="A354" s="542"/>
      <c r="B354" s="543"/>
      <c r="C354" s="543"/>
      <c r="D354" s="544"/>
      <c r="E354" s="544"/>
      <c r="F354" s="544"/>
      <c r="G354" s="544"/>
      <c r="H354" s="544"/>
      <c r="I354" s="543"/>
      <c r="J354" s="543"/>
      <c r="K354" s="544"/>
      <c r="L354" s="543"/>
      <c r="M354" s="544"/>
      <c r="N354" s="543"/>
      <c r="O354" s="544"/>
      <c r="P354" s="544"/>
      <c r="Q354" s="544"/>
      <c r="R354" s="544"/>
      <c r="S354" s="544"/>
    </row>
    <row r="355" ht="14.25" customHeight="1">
      <c r="A355" s="542"/>
      <c r="B355" s="543"/>
      <c r="C355" s="543"/>
      <c r="D355" s="544"/>
      <c r="E355" s="544"/>
      <c r="F355" s="544"/>
      <c r="G355" s="544"/>
      <c r="H355" s="544"/>
      <c r="I355" s="543"/>
      <c r="J355" s="543"/>
      <c r="K355" s="544"/>
      <c r="L355" s="543"/>
      <c r="M355" s="544"/>
      <c r="N355" s="543"/>
      <c r="O355" s="544"/>
      <c r="P355" s="544"/>
      <c r="Q355" s="544"/>
      <c r="R355" s="544"/>
      <c r="S355" s="544"/>
    </row>
    <row r="356" ht="14.25" customHeight="1">
      <c r="A356" s="542"/>
      <c r="B356" s="543"/>
      <c r="C356" s="543"/>
      <c r="D356" s="544"/>
      <c r="E356" s="544"/>
      <c r="F356" s="544"/>
      <c r="G356" s="544"/>
      <c r="H356" s="544"/>
      <c r="I356" s="543"/>
      <c r="J356" s="543"/>
      <c r="K356" s="544"/>
      <c r="L356" s="543"/>
      <c r="M356" s="544"/>
      <c r="N356" s="543"/>
      <c r="O356" s="544"/>
      <c r="P356" s="544"/>
      <c r="Q356" s="544"/>
      <c r="R356" s="544"/>
      <c r="S356" s="544"/>
    </row>
    <row r="357" ht="14.25" customHeight="1">
      <c r="A357" s="542"/>
      <c r="B357" s="543"/>
      <c r="C357" s="543"/>
      <c r="D357" s="544"/>
      <c r="E357" s="544"/>
      <c r="F357" s="544"/>
      <c r="G357" s="544"/>
      <c r="H357" s="544"/>
      <c r="I357" s="543"/>
      <c r="J357" s="543"/>
      <c r="K357" s="544"/>
      <c r="L357" s="543"/>
      <c r="M357" s="544"/>
      <c r="N357" s="543"/>
      <c r="O357" s="544"/>
      <c r="P357" s="544"/>
      <c r="Q357" s="544"/>
      <c r="R357" s="544"/>
      <c r="S357" s="544"/>
    </row>
    <row r="358" ht="14.25" customHeight="1">
      <c r="A358" s="542"/>
      <c r="B358" s="543"/>
      <c r="C358" s="543"/>
      <c r="D358" s="544"/>
      <c r="E358" s="544"/>
      <c r="F358" s="544"/>
      <c r="G358" s="544"/>
      <c r="H358" s="544"/>
      <c r="I358" s="543"/>
      <c r="J358" s="543"/>
      <c r="K358" s="544"/>
      <c r="L358" s="543"/>
      <c r="M358" s="544"/>
      <c r="N358" s="543"/>
      <c r="O358" s="544"/>
      <c r="P358" s="544"/>
      <c r="Q358" s="544"/>
      <c r="R358" s="544"/>
      <c r="S358" s="544"/>
    </row>
    <row r="359" ht="14.25" customHeight="1">
      <c r="A359" s="542"/>
      <c r="B359" s="543"/>
      <c r="C359" s="543"/>
      <c r="D359" s="544"/>
      <c r="E359" s="544"/>
      <c r="F359" s="544"/>
      <c r="G359" s="544"/>
      <c r="H359" s="544"/>
      <c r="I359" s="543"/>
      <c r="J359" s="543"/>
      <c r="K359" s="544"/>
      <c r="L359" s="543"/>
      <c r="M359" s="544"/>
      <c r="N359" s="543"/>
      <c r="O359" s="544"/>
      <c r="P359" s="544"/>
      <c r="Q359" s="544"/>
      <c r="R359" s="544"/>
      <c r="S359" s="544"/>
    </row>
    <row r="360" ht="14.25" customHeight="1">
      <c r="A360" s="542"/>
      <c r="B360" s="543"/>
      <c r="C360" s="543"/>
      <c r="D360" s="544"/>
      <c r="E360" s="544"/>
      <c r="F360" s="544"/>
      <c r="G360" s="544"/>
      <c r="H360" s="544"/>
      <c r="I360" s="543"/>
      <c r="J360" s="543"/>
      <c r="K360" s="544"/>
      <c r="L360" s="543"/>
      <c r="M360" s="544"/>
      <c r="N360" s="543"/>
      <c r="O360" s="544"/>
      <c r="P360" s="544"/>
      <c r="Q360" s="544"/>
      <c r="R360" s="544"/>
      <c r="S360" s="544"/>
    </row>
    <row r="361" ht="14.25" customHeight="1">
      <c r="A361" s="542"/>
      <c r="B361" s="543"/>
      <c r="C361" s="543"/>
      <c r="D361" s="544"/>
      <c r="E361" s="544"/>
      <c r="F361" s="544"/>
      <c r="G361" s="544"/>
      <c r="H361" s="544"/>
      <c r="I361" s="543"/>
      <c r="J361" s="543"/>
      <c r="K361" s="544"/>
      <c r="L361" s="543"/>
      <c r="M361" s="544"/>
      <c r="N361" s="543"/>
      <c r="O361" s="544"/>
      <c r="P361" s="544"/>
      <c r="Q361" s="544"/>
      <c r="R361" s="544"/>
      <c r="S361" s="544"/>
    </row>
    <row r="362" ht="14.25" customHeight="1">
      <c r="A362" s="542"/>
      <c r="B362" s="543"/>
      <c r="C362" s="543"/>
      <c r="D362" s="544"/>
      <c r="E362" s="544"/>
      <c r="F362" s="544"/>
      <c r="G362" s="544"/>
      <c r="H362" s="544"/>
      <c r="I362" s="543"/>
      <c r="J362" s="543"/>
      <c r="K362" s="544"/>
      <c r="L362" s="543"/>
      <c r="M362" s="544"/>
      <c r="N362" s="543"/>
      <c r="O362" s="544"/>
      <c r="P362" s="544"/>
      <c r="Q362" s="544"/>
      <c r="R362" s="544"/>
      <c r="S362" s="544"/>
    </row>
    <row r="363" ht="14.25" customHeight="1">
      <c r="A363" s="542"/>
      <c r="B363" s="543"/>
      <c r="C363" s="543"/>
      <c r="D363" s="544"/>
      <c r="E363" s="544"/>
      <c r="F363" s="544"/>
      <c r="G363" s="544"/>
      <c r="H363" s="544"/>
      <c r="I363" s="543"/>
      <c r="J363" s="543"/>
      <c r="K363" s="544"/>
      <c r="L363" s="543"/>
      <c r="M363" s="544"/>
      <c r="N363" s="543"/>
      <c r="O363" s="544"/>
      <c r="P363" s="544"/>
      <c r="Q363" s="544"/>
      <c r="R363" s="544"/>
      <c r="S363" s="544"/>
    </row>
    <row r="364" ht="14.25" customHeight="1">
      <c r="A364" s="542"/>
      <c r="B364" s="543"/>
      <c r="C364" s="543"/>
      <c r="D364" s="544"/>
      <c r="E364" s="544"/>
      <c r="F364" s="544"/>
      <c r="G364" s="544"/>
      <c r="H364" s="544"/>
      <c r="I364" s="543"/>
      <c r="J364" s="543"/>
      <c r="K364" s="544"/>
      <c r="L364" s="543"/>
      <c r="M364" s="544"/>
      <c r="N364" s="543"/>
      <c r="O364" s="544"/>
      <c r="P364" s="544"/>
      <c r="Q364" s="544"/>
      <c r="R364" s="544"/>
      <c r="S364" s="544"/>
    </row>
    <row r="365" ht="14.25" customHeight="1">
      <c r="A365" s="542"/>
      <c r="B365" s="543"/>
      <c r="C365" s="543"/>
      <c r="D365" s="544"/>
      <c r="E365" s="544"/>
      <c r="F365" s="544"/>
      <c r="G365" s="544"/>
      <c r="H365" s="544"/>
      <c r="I365" s="543"/>
      <c r="J365" s="543"/>
      <c r="K365" s="544"/>
      <c r="L365" s="543"/>
      <c r="M365" s="544"/>
      <c r="N365" s="543"/>
      <c r="O365" s="544"/>
      <c r="P365" s="544"/>
      <c r="Q365" s="544"/>
      <c r="R365" s="544"/>
      <c r="S365" s="544"/>
    </row>
    <row r="366" ht="14.25" customHeight="1">
      <c r="A366" s="542"/>
      <c r="B366" s="543"/>
      <c r="C366" s="543"/>
      <c r="D366" s="544"/>
      <c r="E366" s="544"/>
      <c r="F366" s="544"/>
      <c r="G366" s="544"/>
      <c r="H366" s="544"/>
      <c r="I366" s="543"/>
      <c r="J366" s="543"/>
      <c r="K366" s="544"/>
      <c r="L366" s="543"/>
      <c r="M366" s="544"/>
      <c r="N366" s="543"/>
      <c r="O366" s="544"/>
      <c r="P366" s="544"/>
      <c r="Q366" s="544"/>
      <c r="R366" s="544"/>
      <c r="S366" s="544"/>
    </row>
    <row r="367" ht="14.25" customHeight="1">
      <c r="A367" s="542"/>
      <c r="B367" s="543"/>
      <c r="C367" s="543"/>
      <c r="D367" s="544"/>
      <c r="E367" s="544"/>
      <c r="F367" s="544"/>
      <c r="G367" s="544"/>
      <c r="H367" s="544"/>
      <c r="I367" s="543"/>
      <c r="J367" s="543"/>
      <c r="K367" s="544"/>
      <c r="L367" s="543"/>
      <c r="M367" s="544"/>
      <c r="N367" s="543"/>
      <c r="O367" s="544"/>
      <c r="P367" s="544"/>
      <c r="Q367" s="544"/>
      <c r="R367" s="544"/>
      <c r="S367" s="544"/>
    </row>
    <row r="368" ht="14.25" customHeight="1">
      <c r="A368" s="542"/>
      <c r="B368" s="543"/>
      <c r="C368" s="543"/>
      <c r="D368" s="544"/>
      <c r="E368" s="544"/>
      <c r="F368" s="544"/>
      <c r="G368" s="544"/>
      <c r="H368" s="544"/>
      <c r="I368" s="543"/>
      <c r="J368" s="543"/>
      <c r="K368" s="544"/>
      <c r="L368" s="543"/>
      <c r="M368" s="544"/>
      <c r="N368" s="543"/>
      <c r="O368" s="544"/>
      <c r="P368" s="544"/>
      <c r="Q368" s="544"/>
      <c r="R368" s="544"/>
      <c r="S368" s="544"/>
    </row>
    <row r="369" ht="14.25" customHeight="1">
      <c r="A369" s="542"/>
      <c r="B369" s="543"/>
      <c r="C369" s="543"/>
      <c r="D369" s="544"/>
      <c r="E369" s="544"/>
      <c r="F369" s="544"/>
      <c r="G369" s="544"/>
      <c r="H369" s="544"/>
      <c r="I369" s="543"/>
      <c r="J369" s="543"/>
      <c r="K369" s="544"/>
      <c r="L369" s="543"/>
      <c r="M369" s="544"/>
      <c r="N369" s="543"/>
      <c r="O369" s="544"/>
      <c r="P369" s="544"/>
      <c r="Q369" s="544"/>
      <c r="R369" s="544"/>
      <c r="S369" s="544"/>
    </row>
    <row r="370" ht="14.25" customHeight="1">
      <c r="A370" s="542"/>
      <c r="B370" s="543"/>
      <c r="C370" s="543"/>
      <c r="D370" s="544"/>
      <c r="E370" s="544"/>
      <c r="F370" s="544"/>
      <c r="G370" s="544"/>
      <c r="H370" s="544"/>
      <c r="I370" s="543"/>
      <c r="J370" s="543"/>
      <c r="K370" s="544"/>
      <c r="L370" s="543"/>
      <c r="M370" s="544"/>
      <c r="N370" s="543"/>
      <c r="O370" s="544"/>
      <c r="P370" s="544"/>
      <c r="Q370" s="544"/>
      <c r="R370" s="544"/>
      <c r="S370" s="544"/>
    </row>
    <row r="371" ht="14.25" customHeight="1">
      <c r="A371" s="542"/>
      <c r="B371" s="543"/>
      <c r="C371" s="543"/>
      <c r="D371" s="544"/>
      <c r="E371" s="544"/>
      <c r="F371" s="544"/>
      <c r="G371" s="544"/>
      <c r="H371" s="544"/>
      <c r="I371" s="543"/>
      <c r="J371" s="543"/>
      <c r="K371" s="544"/>
      <c r="L371" s="543"/>
      <c r="M371" s="544"/>
      <c r="N371" s="543"/>
      <c r="O371" s="544"/>
      <c r="P371" s="544"/>
      <c r="Q371" s="544"/>
      <c r="R371" s="544"/>
      <c r="S371" s="544"/>
    </row>
    <row r="372" ht="14.25" customHeight="1">
      <c r="A372" s="542"/>
      <c r="B372" s="543"/>
      <c r="C372" s="543"/>
      <c r="D372" s="544"/>
      <c r="E372" s="544"/>
      <c r="F372" s="544"/>
      <c r="G372" s="544"/>
      <c r="H372" s="544"/>
      <c r="I372" s="543"/>
      <c r="J372" s="543"/>
      <c r="K372" s="544"/>
      <c r="L372" s="543"/>
      <c r="M372" s="544"/>
      <c r="N372" s="543"/>
      <c r="O372" s="544"/>
      <c r="P372" s="544"/>
      <c r="Q372" s="544"/>
      <c r="R372" s="544"/>
      <c r="S372" s="544"/>
    </row>
    <row r="373" ht="14.25" customHeight="1">
      <c r="A373" s="542"/>
      <c r="B373" s="543"/>
      <c r="C373" s="543"/>
      <c r="D373" s="544"/>
      <c r="E373" s="544"/>
      <c r="F373" s="544"/>
      <c r="G373" s="544"/>
      <c r="H373" s="544"/>
      <c r="I373" s="543"/>
      <c r="J373" s="543"/>
      <c r="K373" s="544"/>
      <c r="L373" s="543"/>
      <c r="M373" s="544"/>
      <c r="N373" s="543"/>
      <c r="O373" s="544"/>
      <c r="P373" s="544"/>
      <c r="Q373" s="544"/>
      <c r="R373" s="544"/>
      <c r="S373" s="544"/>
    </row>
    <row r="374" ht="14.25" customHeight="1">
      <c r="A374" s="542"/>
      <c r="B374" s="543"/>
      <c r="C374" s="543"/>
      <c r="D374" s="544"/>
      <c r="E374" s="544"/>
      <c r="F374" s="544"/>
      <c r="G374" s="544"/>
      <c r="H374" s="544"/>
      <c r="I374" s="543"/>
      <c r="J374" s="543"/>
      <c r="K374" s="544"/>
      <c r="L374" s="543"/>
      <c r="M374" s="544"/>
      <c r="N374" s="543"/>
      <c r="O374" s="544"/>
      <c r="P374" s="544"/>
      <c r="Q374" s="544"/>
      <c r="R374" s="544"/>
      <c r="S374" s="544"/>
    </row>
    <row r="375" ht="14.25" customHeight="1">
      <c r="A375" s="542"/>
      <c r="B375" s="543"/>
      <c r="C375" s="543"/>
      <c r="D375" s="544"/>
      <c r="E375" s="544"/>
      <c r="F375" s="544"/>
      <c r="G375" s="544"/>
      <c r="H375" s="544"/>
      <c r="I375" s="543"/>
      <c r="J375" s="543"/>
      <c r="K375" s="544"/>
      <c r="L375" s="543"/>
      <c r="M375" s="544"/>
      <c r="N375" s="543"/>
      <c r="O375" s="544"/>
      <c r="P375" s="544"/>
      <c r="Q375" s="544"/>
      <c r="R375" s="544"/>
      <c r="S375" s="544"/>
    </row>
    <row r="376" ht="14.25" customHeight="1">
      <c r="A376" s="542"/>
      <c r="B376" s="543"/>
      <c r="C376" s="543"/>
      <c r="D376" s="544"/>
      <c r="E376" s="544"/>
      <c r="F376" s="544"/>
      <c r="G376" s="544"/>
      <c r="H376" s="544"/>
      <c r="I376" s="543"/>
      <c r="J376" s="543"/>
      <c r="K376" s="544"/>
      <c r="L376" s="543"/>
      <c r="M376" s="544"/>
      <c r="N376" s="543"/>
      <c r="O376" s="544"/>
      <c r="P376" s="544"/>
      <c r="Q376" s="544"/>
      <c r="R376" s="544"/>
      <c r="S376" s="544"/>
    </row>
    <row r="377" ht="14.25" customHeight="1">
      <c r="A377" s="542"/>
      <c r="B377" s="543"/>
      <c r="C377" s="543"/>
      <c r="D377" s="544"/>
      <c r="E377" s="544"/>
      <c r="F377" s="544"/>
      <c r="G377" s="544"/>
      <c r="H377" s="544"/>
      <c r="I377" s="543"/>
      <c r="J377" s="543"/>
      <c r="K377" s="544"/>
      <c r="L377" s="543"/>
      <c r="M377" s="544"/>
      <c r="N377" s="543"/>
      <c r="O377" s="544"/>
      <c r="P377" s="544"/>
      <c r="Q377" s="544"/>
      <c r="R377" s="544"/>
      <c r="S377" s="544"/>
    </row>
    <row r="378" ht="14.25" customHeight="1">
      <c r="A378" s="542"/>
      <c r="B378" s="543"/>
      <c r="C378" s="543"/>
      <c r="D378" s="544"/>
      <c r="E378" s="544"/>
      <c r="F378" s="544"/>
      <c r="G378" s="544"/>
      <c r="H378" s="544"/>
      <c r="I378" s="543"/>
      <c r="J378" s="543"/>
      <c r="K378" s="544"/>
      <c r="L378" s="543"/>
      <c r="M378" s="544"/>
      <c r="N378" s="543"/>
      <c r="O378" s="544"/>
      <c r="P378" s="544"/>
      <c r="Q378" s="544"/>
      <c r="R378" s="544"/>
      <c r="S378" s="544"/>
    </row>
    <row r="379" ht="14.25" customHeight="1">
      <c r="A379" s="542"/>
      <c r="B379" s="543"/>
      <c r="C379" s="543"/>
      <c r="D379" s="544"/>
      <c r="E379" s="544"/>
      <c r="F379" s="544"/>
      <c r="G379" s="544"/>
      <c r="H379" s="544"/>
      <c r="I379" s="543"/>
      <c r="J379" s="543"/>
      <c r="K379" s="544"/>
      <c r="L379" s="543"/>
      <c r="M379" s="544"/>
      <c r="N379" s="543"/>
      <c r="O379" s="544"/>
      <c r="P379" s="544"/>
      <c r="Q379" s="544"/>
      <c r="R379" s="544"/>
      <c r="S379" s="544"/>
    </row>
    <row r="380" ht="14.25" customHeight="1">
      <c r="A380" s="542"/>
      <c r="B380" s="543"/>
      <c r="C380" s="543"/>
      <c r="D380" s="544"/>
      <c r="E380" s="544"/>
      <c r="F380" s="544"/>
      <c r="G380" s="544"/>
      <c r="H380" s="544"/>
      <c r="I380" s="543"/>
      <c r="J380" s="543"/>
      <c r="K380" s="544"/>
      <c r="L380" s="543"/>
      <c r="M380" s="544"/>
      <c r="N380" s="543"/>
      <c r="O380" s="544"/>
      <c r="P380" s="544"/>
      <c r="Q380" s="544"/>
      <c r="R380" s="544"/>
      <c r="S380" s="544"/>
    </row>
    <row r="381" ht="14.25" customHeight="1">
      <c r="A381" s="542"/>
      <c r="B381" s="543"/>
      <c r="C381" s="543"/>
      <c r="D381" s="544"/>
      <c r="E381" s="544"/>
      <c r="F381" s="544"/>
      <c r="G381" s="544"/>
      <c r="H381" s="544"/>
      <c r="I381" s="543"/>
      <c r="J381" s="543"/>
      <c r="K381" s="544"/>
      <c r="L381" s="543"/>
      <c r="M381" s="544"/>
      <c r="N381" s="543"/>
      <c r="O381" s="544"/>
      <c r="P381" s="544"/>
      <c r="Q381" s="544"/>
      <c r="R381" s="544"/>
      <c r="S381" s="544"/>
    </row>
    <row r="382" ht="14.25" customHeight="1">
      <c r="A382" s="542"/>
      <c r="B382" s="543"/>
      <c r="C382" s="543"/>
      <c r="D382" s="544"/>
      <c r="E382" s="544"/>
      <c r="F382" s="544"/>
      <c r="G382" s="544"/>
      <c r="H382" s="544"/>
      <c r="I382" s="543"/>
      <c r="J382" s="543"/>
      <c r="K382" s="544"/>
      <c r="L382" s="543"/>
      <c r="M382" s="544"/>
      <c r="N382" s="543"/>
      <c r="O382" s="544"/>
      <c r="P382" s="544"/>
      <c r="Q382" s="544"/>
      <c r="R382" s="544"/>
      <c r="S382" s="544"/>
    </row>
    <row r="383" ht="14.25" customHeight="1">
      <c r="A383" s="542"/>
      <c r="B383" s="543"/>
      <c r="C383" s="543"/>
      <c r="D383" s="544"/>
      <c r="E383" s="544"/>
      <c r="F383" s="544"/>
      <c r="G383" s="544"/>
      <c r="H383" s="544"/>
      <c r="I383" s="543"/>
      <c r="J383" s="543"/>
      <c r="K383" s="544"/>
      <c r="L383" s="543"/>
      <c r="M383" s="544"/>
      <c r="N383" s="543"/>
      <c r="O383" s="544"/>
      <c r="P383" s="544"/>
      <c r="Q383" s="544"/>
      <c r="R383" s="544"/>
      <c r="S383" s="544"/>
    </row>
    <row r="384" ht="14.25" customHeight="1">
      <c r="A384" s="542"/>
      <c r="B384" s="543"/>
      <c r="C384" s="543"/>
      <c r="D384" s="544"/>
      <c r="E384" s="544"/>
      <c r="F384" s="544"/>
      <c r="G384" s="544"/>
      <c r="H384" s="544"/>
      <c r="I384" s="543"/>
      <c r="J384" s="543"/>
      <c r="K384" s="544"/>
      <c r="L384" s="543"/>
      <c r="M384" s="544"/>
      <c r="N384" s="543"/>
      <c r="O384" s="544"/>
      <c r="P384" s="544"/>
      <c r="Q384" s="544"/>
      <c r="R384" s="544"/>
      <c r="S384" s="544"/>
    </row>
    <row r="385" ht="14.25" customHeight="1">
      <c r="A385" s="542"/>
      <c r="B385" s="543"/>
      <c r="C385" s="543"/>
      <c r="D385" s="544"/>
      <c r="E385" s="544"/>
      <c r="F385" s="544"/>
      <c r="G385" s="544"/>
      <c r="H385" s="544"/>
      <c r="I385" s="543"/>
      <c r="J385" s="543"/>
      <c r="K385" s="544"/>
      <c r="L385" s="543"/>
      <c r="M385" s="544"/>
      <c r="N385" s="543"/>
      <c r="O385" s="544"/>
      <c r="P385" s="544"/>
      <c r="Q385" s="544"/>
      <c r="R385" s="544"/>
      <c r="S385" s="544"/>
    </row>
    <row r="386" ht="14.25" customHeight="1">
      <c r="A386" s="542"/>
      <c r="B386" s="543"/>
      <c r="C386" s="543"/>
      <c r="D386" s="544"/>
      <c r="E386" s="544"/>
      <c r="F386" s="544"/>
      <c r="G386" s="544"/>
      <c r="H386" s="544"/>
      <c r="I386" s="543"/>
      <c r="J386" s="543"/>
      <c r="K386" s="544"/>
      <c r="L386" s="543"/>
      <c r="M386" s="544"/>
      <c r="N386" s="543"/>
      <c r="O386" s="544"/>
      <c r="P386" s="544"/>
      <c r="Q386" s="544"/>
      <c r="R386" s="544"/>
      <c r="S386" s="544"/>
    </row>
    <row r="387" ht="14.25" customHeight="1">
      <c r="A387" s="542"/>
      <c r="B387" s="543"/>
      <c r="C387" s="543"/>
      <c r="D387" s="544"/>
      <c r="E387" s="544"/>
      <c r="F387" s="544"/>
      <c r="G387" s="544"/>
      <c r="H387" s="544"/>
      <c r="I387" s="543"/>
      <c r="J387" s="543"/>
      <c r="K387" s="544"/>
      <c r="L387" s="543"/>
      <c r="M387" s="544"/>
      <c r="N387" s="543"/>
      <c r="O387" s="544"/>
      <c r="P387" s="544"/>
      <c r="Q387" s="544"/>
      <c r="R387" s="544"/>
      <c r="S387" s="544"/>
    </row>
    <row r="388" ht="14.25" customHeight="1">
      <c r="A388" s="542"/>
      <c r="B388" s="543"/>
      <c r="C388" s="543"/>
      <c r="D388" s="544"/>
      <c r="E388" s="544"/>
      <c r="F388" s="544"/>
      <c r="G388" s="544"/>
      <c r="H388" s="544"/>
      <c r="I388" s="543"/>
      <c r="J388" s="543"/>
      <c r="K388" s="544"/>
      <c r="L388" s="543"/>
      <c r="M388" s="544"/>
      <c r="N388" s="543"/>
      <c r="O388" s="544"/>
      <c r="P388" s="544"/>
      <c r="Q388" s="544"/>
      <c r="R388" s="544"/>
      <c r="S388" s="544"/>
    </row>
    <row r="389" ht="14.25" customHeight="1">
      <c r="A389" s="542"/>
      <c r="B389" s="543"/>
      <c r="C389" s="543"/>
      <c r="D389" s="544"/>
      <c r="E389" s="544"/>
      <c r="F389" s="544"/>
      <c r="G389" s="544"/>
      <c r="H389" s="544"/>
      <c r="I389" s="543"/>
      <c r="J389" s="543"/>
      <c r="K389" s="544"/>
      <c r="L389" s="543"/>
      <c r="M389" s="544"/>
      <c r="N389" s="543"/>
      <c r="O389" s="544"/>
      <c r="P389" s="544"/>
      <c r="Q389" s="544"/>
      <c r="R389" s="544"/>
      <c r="S389" s="544"/>
    </row>
    <row r="390" ht="14.25" customHeight="1">
      <c r="A390" s="542"/>
      <c r="B390" s="543"/>
      <c r="C390" s="543"/>
      <c r="D390" s="544"/>
      <c r="E390" s="544"/>
      <c r="F390" s="544"/>
      <c r="G390" s="544"/>
      <c r="H390" s="544"/>
      <c r="I390" s="543"/>
      <c r="J390" s="543"/>
      <c r="K390" s="544"/>
      <c r="L390" s="543"/>
      <c r="M390" s="544"/>
      <c r="N390" s="543"/>
      <c r="O390" s="544"/>
      <c r="P390" s="544"/>
      <c r="Q390" s="544"/>
      <c r="R390" s="544"/>
      <c r="S390" s="544"/>
    </row>
    <row r="391" ht="14.25" customHeight="1">
      <c r="A391" s="542"/>
      <c r="B391" s="543"/>
      <c r="C391" s="543"/>
      <c r="D391" s="544"/>
      <c r="E391" s="544"/>
      <c r="F391" s="544"/>
      <c r="G391" s="544"/>
      <c r="H391" s="544"/>
      <c r="I391" s="543"/>
      <c r="J391" s="543"/>
      <c r="K391" s="544"/>
      <c r="L391" s="543"/>
      <c r="M391" s="544"/>
      <c r="N391" s="543"/>
      <c r="O391" s="544"/>
      <c r="P391" s="544"/>
      <c r="Q391" s="544"/>
      <c r="R391" s="544"/>
      <c r="S391" s="544"/>
    </row>
    <row r="392" ht="14.25" customHeight="1">
      <c r="A392" s="542"/>
      <c r="B392" s="543"/>
      <c r="C392" s="543"/>
      <c r="D392" s="544"/>
      <c r="E392" s="544"/>
      <c r="F392" s="544"/>
      <c r="G392" s="544"/>
      <c r="H392" s="544"/>
      <c r="I392" s="543"/>
      <c r="J392" s="543"/>
      <c r="K392" s="544"/>
      <c r="L392" s="543"/>
      <c r="M392" s="544"/>
      <c r="N392" s="543"/>
      <c r="O392" s="544"/>
      <c r="P392" s="544"/>
      <c r="Q392" s="544"/>
      <c r="R392" s="544"/>
      <c r="S392" s="544"/>
    </row>
    <row r="393" ht="14.25" customHeight="1">
      <c r="A393" s="542"/>
      <c r="B393" s="543"/>
      <c r="C393" s="543"/>
      <c r="D393" s="544"/>
      <c r="E393" s="544"/>
      <c r="F393" s="544"/>
      <c r="G393" s="544"/>
      <c r="H393" s="544"/>
      <c r="I393" s="543"/>
      <c r="J393" s="543"/>
      <c r="K393" s="544"/>
      <c r="L393" s="543"/>
      <c r="M393" s="544"/>
      <c r="N393" s="543"/>
      <c r="O393" s="544"/>
      <c r="P393" s="544"/>
      <c r="Q393" s="544"/>
      <c r="R393" s="544"/>
      <c r="S393" s="544"/>
    </row>
    <row r="394" ht="14.25" customHeight="1">
      <c r="A394" s="542"/>
      <c r="B394" s="543"/>
      <c r="C394" s="543"/>
      <c r="D394" s="544"/>
      <c r="E394" s="544"/>
      <c r="F394" s="544"/>
      <c r="G394" s="544"/>
      <c r="H394" s="544"/>
      <c r="I394" s="543"/>
      <c r="J394" s="543"/>
      <c r="K394" s="544"/>
      <c r="L394" s="543"/>
      <c r="M394" s="544"/>
      <c r="N394" s="543"/>
      <c r="O394" s="544"/>
      <c r="P394" s="544"/>
      <c r="Q394" s="544"/>
      <c r="R394" s="544"/>
      <c r="S394" s="544"/>
    </row>
    <row r="395" ht="14.25" customHeight="1">
      <c r="A395" s="542"/>
      <c r="B395" s="543"/>
      <c r="C395" s="543"/>
      <c r="D395" s="544"/>
      <c r="E395" s="544"/>
      <c r="F395" s="544"/>
      <c r="G395" s="544"/>
      <c r="H395" s="544"/>
      <c r="I395" s="543"/>
      <c r="J395" s="543"/>
      <c r="K395" s="544"/>
      <c r="L395" s="543"/>
      <c r="M395" s="544"/>
      <c r="N395" s="543"/>
      <c r="O395" s="544"/>
      <c r="P395" s="544"/>
      <c r="Q395" s="544"/>
      <c r="R395" s="544"/>
      <c r="S395" s="544"/>
    </row>
    <row r="396" ht="14.25" customHeight="1">
      <c r="A396" s="542"/>
      <c r="B396" s="543"/>
      <c r="C396" s="543"/>
      <c r="D396" s="544"/>
      <c r="E396" s="544"/>
      <c r="F396" s="544"/>
      <c r="G396" s="544"/>
      <c r="H396" s="544"/>
      <c r="I396" s="543"/>
      <c r="J396" s="543"/>
      <c r="K396" s="544"/>
      <c r="L396" s="543"/>
      <c r="M396" s="544"/>
      <c r="N396" s="543"/>
      <c r="O396" s="544"/>
      <c r="P396" s="544"/>
      <c r="Q396" s="544"/>
      <c r="R396" s="544"/>
      <c r="S396" s="544"/>
    </row>
    <row r="397" ht="14.25" customHeight="1">
      <c r="A397" s="542"/>
      <c r="B397" s="543"/>
      <c r="C397" s="543"/>
      <c r="D397" s="544"/>
      <c r="E397" s="544"/>
      <c r="F397" s="544"/>
      <c r="G397" s="544"/>
      <c r="H397" s="544"/>
      <c r="I397" s="543"/>
      <c r="J397" s="543"/>
      <c r="K397" s="544"/>
      <c r="L397" s="543"/>
      <c r="M397" s="544"/>
      <c r="N397" s="543"/>
      <c r="O397" s="544"/>
      <c r="P397" s="544"/>
      <c r="Q397" s="544"/>
      <c r="R397" s="544"/>
      <c r="S397" s="544"/>
    </row>
    <row r="398" ht="14.25" customHeight="1">
      <c r="A398" s="542"/>
      <c r="B398" s="543"/>
      <c r="C398" s="543"/>
      <c r="D398" s="544"/>
      <c r="E398" s="544"/>
      <c r="F398" s="544"/>
      <c r="G398" s="544"/>
      <c r="H398" s="544"/>
      <c r="I398" s="543"/>
      <c r="J398" s="543"/>
      <c r="K398" s="544"/>
      <c r="L398" s="543"/>
      <c r="M398" s="544"/>
      <c r="N398" s="543"/>
      <c r="O398" s="544"/>
      <c r="P398" s="544"/>
      <c r="Q398" s="544"/>
      <c r="R398" s="544"/>
      <c r="S398" s="544"/>
    </row>
    <row r="399" ht="14.25" customHeight="1">
      <c r="A399" s="542"/>
      <c r="B399" s="543"/>
      <c r="C399" s="543"/>
      <c r="D399" s="544"/>
      <c r="E399" s="544"/>
      <c r="F399" s="544"/>
      <c r="G399" s="544"/>
      <c r="H399" s="544"/>
      <c r="I399" s="543"/>
      <c r="J399" s="543"/>
      <c r="K399" s="544"/>
      <c r="L399" s="543"/>
      <c r="M399" s="544"/>
      <c r="N399" s="543"/>
      <c r="O399" s="544"/>
      <c r="P399" s="544"/>
      <c r="Q399" s="544"/>
      <c r="R399" s="544"/>
      <c r="S399" s="544"/>
    </row>
    <row r="400" ht="14.25" customHeight="1">
      <c r="A400" s="542"/>
      <c r="B400" s="543"/>
      <c r="C400" s="543"/>
      <c r="D400" s="544"/>
      <c r="E400" s="544"/>
      <c r="F400" s="544"/>
      <c r="G400" s="544"/>
      <c r="H400" s="544"/>
      <c r="I400" s="543"/>
      <c r="J400" s="543"/>
      <c r="K400" s="544"/>
      <c r="L400" s="543"/>
      <c r="M400" s="544"/>
      <c r="N400" s="543"/>
      <c r="O400" s="544"/>
      <c r="P400" s="544"/>
      <c r="Q400" s="544"/>
      <c r="R400" s="544"/>
      <c r="S400" s="544"/>
    </row>
    <row r="401" ht="14.25" customHeight="1">
      <c r="A401" s="542"/>
      <c r="B401" s="543"/>
      <c r="C401" s="543"/>
      <c r="D401" s="544"/>
      <c r="E401" s="544"/>
      <c r="F401" s="544"/>
      <c r="G401" s="544"/>
      <c r="H401" s="544"/>
      <c r="I401" s="543"/>
      <c r="J401" s="543"/>
      <c r="K401" s="544"/>
      <c r="L401" s="543"/>
      <c r="M401" s="544"/>
      <c r="N401" s="543"/>
      <c r="O401" s="544"/>
      <c r="P401" s="544"/>
      <c r="Q401" s="544"/>
      <c r="R401" s="544"/>
      <c r="S401" s="544"/>
    </row>
    <row r="402" ht="14.25" customHeight="1">
      <c r="A402" s="542"/>
      <c r="B402" s="543"/>
      <c r="C402" s="543"/>
      <c r="D402" s="544"/>
      <c r="E402" s="544"/>
      <c r="F402" s="544"/>
      <c r="G402" s="544"/>
      <c r="H402" s="544"/>
      <c r="I402" s="543"/>
      <c r="J402" s="543"/>
      <c r="K402" s="544"/>
      <c r="L402" s="543"/>
      <c r="M402" s="544"/>
      <c r="N402" s="543"/>
      <c r="O402" s="544"/>
      <c r="P402" s="544"/>
      <c r="Q402" s="544"/>
      <c r="R402" s="544"/>
      <c r="S402" s="544"/>
    </row>
    <row r="403" ht="14.25" customHeight="1">
      <c r="A403" s="542"/>
      <c r="B403" s="543"/>
      <c r="C403" s="543"/>
      <c r="D403" s="544"/>
      <c r="E403" s="544"/>
      <c r="F403" s="544"/>
      <c r="G403" s="544"/>
      <c r="H403" s="544"/>
      <c r="I403" s="543"/>
      <c r="J403" s="543"/>
      <c r="K403" s="544"/>
      <c r="L403" s="543"/>
      <c r="M403" s="544"/>
      <c r="N403" s="543"/>
      <c r="O403" s="544"/>
      <c r="P403" s="544"/>
      <c r="Q403" s="544"/>
      <c r="R403" s="544"/>
      <c r="S403" s="544"/>
    </row>
    <row r="404" ht="14.25" customHeight="1">
      <c r="A404" s="542"/>
      <c r="B404" s="543"/>
      <c r="C404" s="543"/>
      <c r="D404" s="544"/>
      <c r="E404" s="544"/>
      <c r="F404" s="544"/>
      <c r="G404" s="544"/>
      <c r="H404" s="544"/>
      <c r="I404" s="543"/>
      <c r="J404" s="543"/>
      <c r="K404" s="544"/>
      <c r="L404" s="543"/>
      <c r="M404" s="544"/>
      <c r="N404" s="543"/>
      <c r="O404" s="544"/>
      <c r="P404" s="544"/>
      <c r="Q404" s="544"/>
      <c r="R404" s="544"/>
      <c r="S404" s="544"/>
    </row>
    <row r="405" ht="14.25" customHeight="1">
      <c r="A405" s="542"/>
      <c r="B405" s="543"/>
      <c r="C405" s="543"/>
      <c r="D405" s="544"/>
      <c r="E405" s="544"/>
      <c r="F405" s="544"/>
      <c r="G405" s="544"/>
      <c r="H405" s="544"/>
      <c r="I405" s="543"/>
      <c r="J405" s="543"/>
      <c r="K405" s="544"/>
      <c r="L405" s="543"/>
      <c r="M405" s="544"/>
      <c r="N405" s="543"/>
      <c r="O405" s="544"/>
      <c r="P405" s="544"/>
      <c r="Q405" s="544"/>
      <c r="R405" s="544"/>
      <c r="S405" s="544"/>
    </row>
    <row r="406" ht="14.25" customHeight="1">
      <c r="A406" s="542"/>
      <c r="B406" s="543"/>
      <c r="C406" s="543"/>
      <c r="D406" s="544"/>
      <c r="E406" s="544"/>
      <c r="F406" s="544"/>
      <c r="G406" s="544"/>
      <c r="H406" s="544"/>
      <c r="I406" s="543"/>
      <c r="J406" s="543"/>
      <c r="K406" s="544"/>
      <c r="L406" s="543"/>
      <c r="M406" s="544"/>
      <c r="N406" s="543"/>
      <c r="O406" s="544"/>
      <c r="P406" s="544"/>
      <c r="Q406" s="544"/>
      <c r="R406" s="544"/>
      <c r="S406" s="544"/>
    </row>
    <row r="407" ht="14.25" customHeight="1">
      <c r="A407" s="542"/>
      <c r="B407" s="543"/>
      <c r="C407" s="543"/>
      <c r="D407" s="544"/>
      <c r="E407" s="544"/>
      <c r="F407" s="544"/>
      <c r="G407" s="544"/>
      <c r="H407" s="544"/>
      <c r="I407" s="543"/>
      <c r="J407" s="543"/>
      <c r="K407" s="544"/>
      <c r="L407" s="543"/>
      <c r="M407" s="544"/>
      <c r="N407" s="543"/>
      <c r="O407" s="544"/>
      <c r="P407" s="544"/>
      <c r="Q407" s="544"/>
      <c r="R407" s="544"/>
      <c r="S407" s="544"/>
    </row>
    <row r="408" ht="14.25" customHeight="1">
      <c r="A408" s="542"/>
      <c r="B408" s="543"/>
      <c r="C408" s="543"/>
      <c r="D408" s="544"/>
      <c r="E408" s="544"/>
      <c r="F408" s="544"/>
      <c r="G408" s="544"/>
      <c r="H408" s="544"/>
      <c r="I408" s="543"/>
      <c r="J408" s="543"/>
      <c r="K408" s="544"/>
      <c r="L408" s="543"/>
      <c r="M408" s="544"/>
      <c r="N408" s="543"/>
      <c r="O408" s="544"/>
      <c r="P408" s="544"/>
      <c r="Q408" s="544"/>
      <c r="R408" s="544"/>
      <c r="S408" s="544"/>
    </row>
    <row r="409" ht="14.25" customHeight="1">
      <c r="A409" s="542"/>
      <c r="B409" s="543"/>
      <c r="C409" s="543"/>
      <c r="D409" s="544"/>
      <c r="E409" s="544"/>
      <c r="F409" s="544"/>
      <c r="G409" s="544"/>
      <c r="H409" s="544"/>
      <c r="I409" s="543"/>
      <c r="J409" s="543"/>
      <c r="K409" s="544"/>
      <c r="L409" s="543"/>
      <c r="M409" s="544"/>
      <c r="N409" s="543"/>
      <c r="O409" s="544"/>
      <c r="P409" s="544"/>
      <c r="Q409" s="544"/>
      <c r="R409" s="544"/>
      <c r="S409" s="544"/>
    </row>
    <row r="410" ht="14.25" customHeight="1">
      <c r="A410" s="542"/>
      <c r="B410" s="543"/>
      <c r="C410" s="543"/>
      <c r="D410" s="544"/>
      <c r="E410" s="544"/>
      <c r="F410" s="544"/>
      <c r="G410" s="544"/>
      <c r="H410" s="544"/>
      <c r="I410" s="543"/>
      <c r="J410" s="543"/>
      <c r="K410" s="544"/>
      <c r="L410" s="543"/>
      <c r="M410" s="544"/>
      <c r="N410" s="543"/>
      <c r="O410" s="544"/>
      <c r="P410" s="544"/>
      <c r="Q410" s="544"/>
      <c r="R410" s="544"/>
      <c r="S410" s="544"/>
    </row>
    <row r="411" ht="14.25" customHeight="1">
      <c r="A411" s="542"/>
      <c r="B411" s="543"/>
      <c r="C411" s="543"/>
      <c r="D411" s="544"/>
      <c r="E411" s="544"/>
      <c r="F411" s="544"/>
      <c r="G411" s="544"/>
      <c r="H411" s="544"/>
      <c r="I411" s="543"/>
      <c r="J411" s="543"/>
      <c r="K411" s="544"/>
      <c r="L411" s="543"/>
      <c r="M411" s="544"/>
      <c r="N411" s="543"/>
      <c r="O411" s="544"/>
      <c r="P411" s="544"/>
      <c r="Q411" s="544"/>
      <c r="R411" s="544"/>
      <c r="S411" s="544"/>
    </row>
    <row r="412" ht="14.25" customHeight="1">
      <c r="A412" s="542"/>
      <c r="B412" s="543"/>
      <c r="C412" s="543"/>
      <c r="D412" s="544"/>
      <c r="E412" s="544"/>
      <c r="F412" s="544"/>
      <c r="G412" s="544"/>
      <c r="H412" s="544"/>
      <c r="I412" s="543"/>
      <c r="J412" s="543"/>
      <c r="K412" s="544"/>
      <c r="L412" s="543"/>
      <c r="M412" s="544"/>
      <c r="N412" s="543"/>
      <c r="O412" s="544"/>
      <c r="P412" s="544"/>
      <c r="Q412" s="544"/>
      <c r="R412" s="544"/>
      <c r="S412" s="544"/>
    </row>
    <row r="413" ht="14.25" customHeight="1">
      <c r="A413" s="542"/>
      <c r="B413" s="543"/>
      <c r="C413" s="543"/>
      <c r="D413" s="544"/>
      <c r="E413" s="544"/>
      <c r="F413" s="544"/>
      <c r="G413" s="544"/>
      <c r="H413" s="544"/>
      <c r="I413" s="543"/>
      <c r="J413" s="543"/>
      <c r="K413" s="544"/>
      <c r="L413" s="543"/>
      <c r="M413" s="544"/>
      <c r="N413" s="543"/>
      <c r="O413" s="544"/>
      <c r="P413" s="544"/>
      <c r="Q413" s="544"/>
      <c r="R413" s="544"/>
      <c r="S413" s="544"/>
    </row>
    <row r="414" ht="14.25" customHeight="1">
      <c r="A414" s="542"/>
      <c r="B414" s="543"/>
      <c r="C414" s="543"/>
      <c r="D414" s="544"/>
      <c r="E414" s="544"/>
      <c r="F414" s="544"/>
      <c r="G414" s="544"/>
      <c r="H414" s="544"/>
      <c r="I414" s="543"/>
      <c r="J414" s="543"/>
      <c r="K414" s="544"/>
      <c r="L414" s="543"/>
      <c r="M414" s="544"/>
      <c r="N414" s="543"/>
      <c r="O414" s="544"/>
      <c r="P414" s="544"/>
      <c r="Q414" s="544"/>
      <c r="R414" s="544"/>
      <c r="S414" s="544"/>
    </row>
    <row r="415" ht="14.25" customHeight="1">
      <c r="A415" s="542"/>
      <c r="B415" s="543"/>
      <c r="C415" s="543"/>
      <c r="D415" s="544"/>
      <c r="E415" s="544"/>
      <c r="F415" s="544"/>
      <c r="G415" s="544"/>
      <c r="H415" s="544"/>
      <c r="I415" s="543"/>
      <c r="J415" s="543"/>
      <c r="K415" s="544"/>
      <c r="L415" s="543"/>
      <c r="M415" s="544"/>
      <c r="N415" s="543"/>
      <c r="O415" s="544"/>
      <c r="P415" s="544"/>
      <c r="Q415" s="544"/>
      <c r="R415" s="544"/>
      <c r="S415" s="544"/>
    </row>
    <row r="416" ht="14.25" customHeight="1">
      <c r="A416" s="542"/>
      <c r="B416" s="543"/>
      <c r="C416" s="543"/>
      <c r="D416" s="544"/>
      <c r="E416" s="544"/>
      <c r="F416" s="544"/>
      <c r="G416" s="544"/>
      <c r="H416" s="544"/>
      <c r="I416" s="543"/>
      <c r="J416" s="543"/>
      <c r="K416" s="544"/>
      <c r="L416" s="543"/>
      <c r="M416" s="544"/>
      <c r="N416" s="543"/>
      <c r="O416" s="544"/>
      <c r="P416" s="544"/>
      <c r="Q416" s="544"/>
      <c r="R416" s="544"/>
      <c r="S416" s="544"/>
    </row>
    <row r="417" ht="14.25" customHeight="1">
      <c r="A417" s="542"/>
      <c r="B417" s="543"/>
      <c r="C417" s="543"/>
      <c r="D417" s="544"/>
      <c r="E417" s="544"/>
      <c r="F417" s="544"/>
      <c r="G417" s="544"/>
      <c r="H417" s="544"/>
      <c r="I417" s="543"/>
      <c r="J417" s="543"/>
      <c r="K417" s="544"/>
      <c r="L417" s="543"/>
      <c r="M417" s="544"/>
      <c r="N417" s="543"/>
      <c r="O417" s="544"/>
      <c r="P417" s="544"/>
      <c r="Q417" s="544"/>
      <c r="R417" s="544"/>
      <c r="S417" s="544"/>
    </row>
    <row r="418" ht="14.25" customHeight="1">
      <c r="A418" s="542"/>
      <c r="B418" s="543"/>
      <c r="C418" s="543"/>
      <c r="D418" s="544"/>
      <c r="E418" s="544"/>
      <c r="F418" s="544"/>
      <c r="G418" s="544"/>
      <c r="H418" s="544"/>
      <c r="I418" s="543"/>
      <c r="J418" s="543"/>
      <c r="K418" s="544"/>
      <c r="L418" s="543"/>
      <c r="M418" s="544"/>
      <c r="N418" s="543"/>
      <c r="O418" s="544"/>
      <c r="P418" s="544"/>
      <c r="Q418" s="544"/>
      <c r="R418" s="544"/>
      <c r="S418" s="544"/>
    </row>
    <row r="419" ht="14.25" customHeight="1">
      <c r="A419" s="542"/>
      <c r="B419" s="543"/>
      <c r="C419" s="543"/>
      <c r="D419" s="544"/>
      <c r="E419" s="544"/>
      <c r="F419" s="544"/>
      <c r="G419" s="544"/>
      <c r="H419" s="544"/>
      <c r="I419" s="543"/>
      <c r="J419" s="543"/>
      <c r="K419" s="544"/>
      <c r="L419" s="543"/>
      <c r="M419" s="544"/>
      <c r="N419" s="543"/>
      <c r="O419" s="544"/>
      <c r="P419" s="544"/>
      <c r="Q419" s="544"/>
      <c r="R419" s="544"/>
      <c r="S419" s="544"/>
    </row>
    <row r="420" ht="14.25" customHeight="1">
      <c r="A420" s="542"/>
      <c r="B420" s="543"/>
      <c r="C420" s="543"/>
      <c r="D420" s="544"/>
      <c r="E420" s="544"/>
      <c r="F420" s="544"/>
      <c r="G420" s="544"/>
      <c r="H420" s="544"/>
      <c r="I420" s="543"/>
      <c r="J420" s="543"/>
      <c r="K420" s="544"/>
      <c r="L420" s="543"/>
      <c r="M420" s="544"/>
      <c r="N420" s="543"/>
      <c r="O420" s="544"/>
      <c r="P420" s="544"/>
      <c r="Q420" s="544"/>
      <c r="R420" s="544"/>
      <c r="S420" s="544"/>
    </row>
    <row r="421" ht="14.25" customHeight="1">
      <c r="A421" s="542"/>
      <c r="B421" s="543"/>
      <c r="C421" s="543"/>
      <c r="D421" s="544"/>
      <c r="E421" s="544"/>
      <c r="F421" s="544"/>
      <c r="G421" s="544"/>
      <c r="H421" s="544"/>
      <c r="I421" s="543"/>
      <c r="J421" s="543"/>
      <c r="K421" s="544"/>
      <c r="L421" s="543"/>
      <c r="M421" s="544"/>
      <c r="N421" s="543"/>
      <c r="O421" s="544"/>
      <c r="P421" s="544"/>
      <c r="Q421" s="544"/>
      <c r="R421" s="544"/>
      <c r="S421" s="544"/>
    </row>
    <row r="422" ht="14.25" customHeight="1">
      <c r="A422" s="542"/>
      <c r="B422" s="543"/>
      <c r="C422" s="543"/>
      <c r="D422" s="544"/>
      <c r="E422" s="544"/>
      <c r="F422" s="544"/>
      <c r="G422" s="544"/>
      <c r="H422" s="544"/>
      <c r="I422" s="543"/>
      <c r="J422" s="543"/>
      <c r="K422" s="544"/>
      <c r="L422" s="543"/>
      <c r="M422" s="544"/>
      <c r="N422" s="543"/>
      <c r="O422" s="544"/>
      <c r="P422" s="544"/>
      <c r="Q422" s="544"/>
      <c r="R422" s="544"/>
      <c r="S422" s="544"/>
    </row>
    <row r="423" ht="14.25" customHeight="1">
      <c r="A423" s="542"/>
      <c r="B423" s="543"/>
      <c r="C423" s="543"/>
      <c r="D423" s="544"/>
      <c r="E423" s="544"/>
      <c r="F423" s="544"/>
      <c r="G423" s="544"/>
      <c r="H423" s="544"/>
      <c r="I423" s="543"/>
      <c r="J423" s="543"/>
      <c r="K423" s="544"/>
      <c r="L423" s="543"/>
      <c r="M423" s="544"/>
      <c r="N423" s="543"/>
      <c r="O423" s="544"/>
      <c r="P423" s="544"/>
      <c r="Q423" s="544"/>
      <c r="R423" s="544"/>
      <c r="S423" s="544"/>
    </row>
    <row r="424" ht="14.25" customHeight="1">
      <c r="A424" s="542"/>
      <c r="B424" s="543"/>
      <c r="C424" s="543"/>
      <c r="D424" s="544"/>
      <c r="E424" s="544"/>
      <c r="F424" s="544"/>
      <c r="G424" s="544"/>
      <c r="H424" s="544"/>
      <c r="I424" s="543"/>
      <c r="J424" s="543"/>
      <c r="K424" s="544"/>
      <c r="L424" s="543"/>
      <c r="M424" s="544"/>
      <c r="N424" s="543"/>
      <c r="O424" s="544"/>
      <c r="P424" s="544"/>
      <c r="Q424" s="544"/>
      <c r="R424" s="544"/>
      <c r="S424" s="544"/>
    </row>
    <row r="425" ht="14.25" customHeight="1">
      <c r="A425" s="542"/>
      <c r="B425" s="543"/>
      <c r="C425" s="543"/>
      <c r="D425" s="544"/>
      <c r="E425" s="544"/>
      <c r="F425" s="544"/>
      <c r="G425" s="544"/>
      <c r="H425" s="544"/>
      <c r="I425" s="543"/>
      <c r="J425" s="543"/>
      <c r="K425" s="544"/>
      <c r="L425" s="543"/>
      <c r="M425" s="544"/>
      <c r="N425" s="543"/>
      <c r="O425" s="544"/>
      <c r="P425" s="544"/>
      <c r="Q425" s="544"/>
      <c r="R425" s="544"/>
      <c r="S425" s="544"/>
    </row>
    <row r="426" ht="14.25" customHeight="1">
      <c r="A426" s="542"/>
      <c r="B426" s="543"/>
      <c r="C426" s="543"/>
      <c r="D426" s="544"/>
      <c r="E426" s="544"/>
      <c r="F426" s="544"/>
      <c r="G426" s="544"/>
      <c r="H426" s="544"/>
      <c r="I426" s="543"/>
      <c r="J426" s="543"/>
      <c r="K426" s="544"/>
      <c r="L426" s="543"/>
      <c r="M426" s="544"/>
      <c r="N426" s="543"/>
      <c r="O426" s="544"/>
      <c r="P426" s="544"/>
      <c r="Q426" s="544"/>
      <c r="R426" s="544"/>
      <c r="S426" s="544"/>
    </row>
    <row r="427" ht="14.25" customHeight="1">
      <c r="A427" s="542"/>
      <c r="B427" s="543"/>
      <c r="C427" s="543"/>
      <c r="D427" s="544"/>
      <c r="E427" s="544"/>
      <c r="F427" s="544"/>
      <c r="G427" s="544"/>
      <c r="H427" s="544"/>
      <c r="I427" s="543"/>
      <c r="J427" s="543"/>
      <c r="K427" s="544"/>
      <c r="L427" s="543"/>
      <c r="M427" s="544"/>
      <c r="N427" s="543"/>
      <c r="O427" s="544"/>
      <c r="P427" s="544"/>
      <c r="Q427" s="544"/>
      <c r="R427" s="544"/>
      <c r="S427" s="544"/>
    </row>
    <row r="428" ht="14.25" customHeight="1">
      <c r="A428" s="542"/>
      <c r="B428" s="543"/>
      <c r="C428" s="543"/>
      <c r="D428" s="544"/>
      <c r="E428" s="544"/>
      <c r="F428" s="544"/>
      <c r="G428" s="544"/>
      <c r="H428" s="544"/>
      <c r="I428" s="543"/>
      <c r="J428" s="543"/>
      <c r="K428" s="544"/>
      <c r="L428" s="543"/>
      <c r="M428" s="544"/>
      <c r="N428" s="543"/>
      <c r="O428" s="544"/>
      <c r="P428" s="544"/>
      <c r="Q428" s="544"/>
      <c r="R428" s="544"/>
      <c r="S428" s="544"/>
    </row>
    <row r="429" ht="14.25" customHeight="1">
      <c r="A429" s="542"/>
      <c r="B429" s="543"/>
      <c r="C429" s="543"/>
      <c r="D429" s="544"/>
      <c r="E429" s="544"/>
      <c r="F429" s="544"/>
      <c r="G429" s="544"/>
      <c r="H429" s="544"/>
      <c r="I429" s="543"/>
      <c r="J429" s="543"/>
      <c r="K429" s="544"/>
      <c r="L429" s="543"/>
      <c r="M429" s="544"/>
      <c r="N429" s="543"/>
      <c r="O429" s="544"/>
      <c r="P429" s="544"/>
      <c r="Q429" s="544"/>
      <c r="R429" s="544"/>
      <c r="S429" s="544"/>
    </row>
    <row r="430" ht="14.25" customHeight="1">
      <c r="A430" s="542"/>
      <c r="B430" s="543"/>
      <c r="C430" s="543"/>
      <c r="D430" s="544"/>
      <c r="E430" s="544"/>
      <c r="F430" s="544"/>
      <c r="G430" s="544"/>
      <c r="H430" s="544"/>
      <c r="I430" s="543"/>
      <c r="J430" s="543"/>
      <c r="K430" s="544"/>
      <c r="L430" s="543"/>
      <c r="M430" s="544"/>
      <c r="N430" s="543"/>
      <c r="O430" s="544"/>
      <c r="P430" s="544"/>
      <c r="Q430" s="544"/>
      <c r="R430" s="544"/>
      <c r="S430" s="544"/>
    </row>
    <row r="431" ht="14.25" customHeight="1">
      <c r="A431" s="542"/>
      <c r="B431" s="543"/>
      <c r="C431" s="543"/>
      <c r="D431" s="544"/>
      <c r="E431" s="544"/>
      <c r="F431" s="544"/>
      <c r="G431" s="544"/>
      <c r="H431" s="544"/>
      <c r="I431" s="543"/>
      <c r="J431" s="543"/>
      <c r="K431" s="544"/>
      <c r="L431" s="543"/>
      <c r="M431" s="544"/>
      <c r="N431" s="543"/>
      <c r="O431" s="544"/>
      <c r="P431" s="544"/>
      <c r="Q431" s="544"/>
      <c r="R431" s="544"/>
      <c r="S431" s="544"/>
    </row>
    <row r="432" ht="14.25" customHeight="1">
      <c r="A432" s="542"/>
      <c r="B432" s="543"/>
      <c r="C432" s="543"/>
      <c r="D432" s="544"/>
      <c r="E432" s="544"/>
      <c r="F432" s="544"/>
      <c r="G432" s="544"/>
      <c r="H432" s="544"/>
      <c r="I432" s="543"/>
      <c r="J432" s="543"/>
      <c r="K432" s="544"/>
      <c r="L432" s="543"/>
      <c r="M432" s="544"/>
      <c r="N432" s="543"/>
      <c r="O432" s="544"/>
      <c r="P432" s="544"/>
      <c r="Q432" s="544"/>
      <c r="R432" s="544"/>
      <c r="S432" s="544"/>
    </row>
    <row r="433" ht="14.25" customHeight="1">
      <c r="A433" s="542"/>
      <c r="B433" s="543"/>
      <c r="C433" s="543"/>
      <c r="D433" s="544"/>
      <c r="E433" s="544"/>
      <c r="F433" s="544"/>
      <c r="G433" s="544"/>
      <c r="H433" s="544"/>
      <c r="I433" s="543"/>
      <c r="J433" s="543"/>
      <c r="K433" s="544"/>
      <c r="L433" s="543"/>
      <c r="M433" s="544"/>
      <c r="N433" s="543"/>
      <c r="O433" s="544"/>
      <c r="P433" s="544"/>
      <c r="Q433" s="544"/>
      <c r="R433" s="544"/>
      <c r="S433" s="544"/>
    </row>
    <row r="434" ht="14.25" customHeight="1">
      <c r="A434" s="542"/>
      <c r="B434" s="543"/>
      <c r="C434" s="543"/>
      <c r="D434" s="544"/>
      <c r="E434" s="544"/>
      <c r="F434" s="544"/>
      <c r="G434" s="544"/>
      <c r="H434" s="544"/>
      <c r="I434" s="543"/>
      <c r="J434" s="543"/>
      <c r="K434" s="544"/>
      <c r="L434" s="543"/>
      <c r="M434" s="544"/>
      <c r="N434" s="543"/>
      <c r="O434" s="544"/>
      <c r="P434" s="544"/>
      <c r="Q434" s="544"/>
      <c r="R434" s="544"/>
      <c r="S434" s="544"/>
    </row>
    <row r="435" ht="14.25" customHeight="1">
      <c r="A435" s="542"/>
      <c r="B435" s="543"/>
      <c r="C435" s="543"/>
      <c r="D435" s="544"/>
      <c r="E435" s="544"/>
      <c r="F435" s="544"/>
      <c r="G435" s="544"/>
      <c r="H435" s="544"/>
      <c r="I435" s="543"/>
      <c r="J435" s="543"/>
      <c r="K435" s="544"/>
      <c r="L435" s="543"/>
      <c r="M435" s="544"/>
      <c r="N435" s="543"/>
      <c r="O435" s="544"/>
      <c r="P435" s="544"/>
      <c r="Q435" s="544"/>
      <c r="R435" s="544"/>
      <c r="S435" s="544"/>
    </row>
    <row r="436" ht="14.25" customHeight="1">
      <c r="A436" s="542"/>
      <c r="B436" s="543"/>
      <c r="C436" s="543"/>
      <c r="D436" s="544"/>
      <c r="E436" s="544"/>
      <c r="F436" s="544"/>
      <c r="G436" s="544"/>
      <c r="H436" s="544"/>
      <c r="I436" s="543"/>
      <c r="J436" s="543"/>
      <c r="K436" s="544"/>
      <c r="L436" s="543"/>
      <c r="M436" s="544"/>
      <c r="N436" s="543"/>
      <c r="O436" s="544"/>
      <c r="P436" s="544"/>
      <c r="Q436" s="544"/>
      <c r="R436" s="544"/>
      <c r="S436" s="544"/>
    </row>
    <row r="437" ht="14.25" customHeight="1">
      <c r="A437" s="542"/>
      <c r="B437" s="543"/>
      <c r="C437" s="543"/>
      <c r="D437" s="544"/>
      <c r="E437" s="544"/>
      <c r="F437" s="544"/>
      <c r="G437" s="544"/>
      <c r="H437" s="544"/>
      <c r="I437" s="543"/>
      <c r="J437" s="543"/>
      <c r="K437" s="544"/>
      <c r="L437" s="543"/>
      <c r="M437" s="544"/>
      <c r="N437" s="543"/>
      <c r="O437" s="544"/>
      <c r="P437" s="544"/>
      <c r="Q437" s="544"/>
      <c r="R437" s="544"/>
      <c r="S437" s="544"/>
    </row>
    <row r="438" ht="14.25" customHeight="1">
      <c r="A438" s="542"/>
      <c r="B438" s="543"/>
      <c r="C438" s="543"/>
      <c r="D438" s="544"/>
      <c r="E438" s="544"/>
      <c r="F438" s="544"/>
      <c r="G438" s="544"/>
      <c r="H438" s="544"/>
      <c r="I438" s="543"/>
      <c r="J438" s="543"/>
      <c r="K438" s="544"/>
      <c r="L438" s="543"/>
      <c r="M438" s="544"/>
      <c r="N438" s="543"/>
      <c r="O438" s="544"/>
      <c r="P438" s="544"/>
      <c r="Q438" s="544"/>
      <c r="R438" s="544"/>
      <c r="S438" s="544"/>
    </row>
    <row r="439" ht="14.25" customHeight="1">
      <c r="A439" s="542"/>
      <c r="B439" s="543"/>
      <c r="C439" s="543"/>
      <c r="D439" s="544"/>
      <c r="E439" s="544"/>
      <c r="F439" s="544"/>
      <c r="G439" s="544"/>
      <c r="H439" s="544"/>
      <c r="I439" s="543"/>
      <c r="J439" s="543"/>
      <c r="K439" s="544"/>
      <c r="L439" s="543"/>
      <c r="M439" s="544"/>
      <c r="N439" s="543"/>
      <c r="O439" s="544"/>
      <c r="P439" s="544"/>
      <c r="Q439" s="544"/>
      <c r="R439" s="544"/>
      <c r="S439" s="544"/>
    </row>
    <row r="440" ht="14.25" customHeight="1">
      <c r="A440" s="542"/>
      <c r="B440" s="543"/>
      <c r="C440" s="543"/>
      <c r="D440" s="544"/>
      <c r="E440" s="544"/>
      <c r="F440" s="544"/>
      <c r="G440" s="544"/>
      <c r="H440" s="544"/>
      <c r="I440" s="543"/>
      <c r="J440" s="543"/>
      <c r="K440" s="544"/>
      <c r="L440" s="543"/>
      <c r="M440" s="544"/>
      <c r="N440" s="543"/>
      <c r="O440" s="544"/>
      <c r="P440" s="544"/>
      <c r="Q440" s="544"/>
      <c r="R440" s="544"/>
      <c r="S440" s="544"/>
    </row>
    <row r="441" ht="14.25" customHeight="1">
      <c r="A441" s="542"/>
      <c r="B441" s="543"/>
      <c r="C441" s="543"/>
      <c r="D441" s="544"/>
      <c r="E441" s="544"/>
      <c r="F441" s="544"/>
      <c r="G441" s="544"/>
      <c r="H441" s="544"/>
      <c r="I441" s="543"/>
      <c r="J441" s="543"/>
      <c r="K441" s="544"/>
      <c r="L441" s="543"/>
      <c r="M441" s="544"/>
      <c r="N441" s="543"/>
      <c r="O441" s="544"/>
      <c r="P441" s="544"/>
      <c r="Q441" s="544"/>
      <c r="R441" s="544"/>
      <c r="S441" s="544"/>
    </row>
    <row r="442" ht="14.25" customHeight="1">
      <c r="A442" s="542"/>
      <c r="B442" s="543"/>
      <c r="C442" s="543"/>
      <c r="D442" s="544"/>
      <c r="E442" s="544"/>
      <c r="F442" s="544"/>
      <c r="G442" s="544"/>
      <c r="H442" s="544"/>
      <c r="I442" s="543"/>
      <c r="J442" s="543"/>
      <c r="K442" s="544"/>
      <c r="L442" s="543"/>
      <c r="M442" s="544"/>
      <c r="N442" s="543"/>
      <c r="O442" s="544"/>
      <c r="P442" s="544"/>
      <c r="Q442" s="544"/>
      <c r="R442" s="544"/>
      <c r="S442" s="544"/>
    </row>
    <row r="443" ht="14.25" customHeight="1">
      <c r="A443" s="542"/>
      <c r="B443" s="543"/>
      <c r="C443" s="543"/>
      <c r="D443" s="544"/>
      <c r="E443" s="544"/>
      <c r="F443" s="544"/>
      <c r="G443" s="544"/>
      <c r="H443" s="544"/>
      <c r="I443" s="543"/>
      <c r="J443" s="543"/>
      <c r="K443" s="544"/>
      <c r="L443" s="543"/>
      <c r="M443" s="544"/>
      <c r="N443" s="543"/>
      <c r="O443" s="544"/>
      <c r="P443" s="544"/>
      <c r="Q443" s="544"/>
      <c r="R443" s="544"/>
      <c r="S443" s="544"/>
    </row>
    <row r="444" ht="14.25" customHeight="1">
      <c r="A444" s="542"/>
      <c r="B444" s="543"/>
      <c r="C444" s="543"/>
      <c r="D444" s="544"/>
      <c r="E444" s="544"/>
      <c r="F444" s="544"/>
      <c r="G444" s="544"/>
      <c r="H444" s="544"/>
      <c r="I444" s="543"/>
      <c r="J444" s="543"/>
      <c r="K444" s="544"/>
      <c r="L444" s="543"/>
      <c r="M444" s="544"/>
      <c r="N444" s="543"/>
      <c r="O444" s="544"/>
      <c r="P444" s="544"/>
      <c r="Q444" s="544"/>
      <c r="R444" s="544"/>
      <c r="S444" s="544"/>
    </row>
    <row r="445" ht="14.25" customHeight="1">
      <c r="A445" s="542"/>
      <c r="B445" s="543"/>
      <c r="C445" s="543"/>
      <c r="D445" s="544"/>
      <c r="E445" s="544"/>
      <c r="F445" s="544"/>
      <c r="G445" s="544"/>
      <c r="H445" s="544"/>
      <c r="I445" s="543"/>
      <c r="J445" s="543"/>
      <c r="K445" s="544"/>
      <c r="L445" s="543"/>
      <c r="M445" s="544"/>
      <c r="N445" s="543"/>
      <c r="O445" s="544"/>
      <c r="P445" s="544"/>
      <c r="Q445" s="544"/>
      <c r="R445" s="544"/>
      <c r="S445" s="544"/>
    </row>
    <row r="446" ht="14.25" customHeight="1">
      <c r="A446" s="542"/>
      <c r="B446" s="543"/>
      <c r="C446" s="543"/>
      <c r="D446" s="544"/>
      <c r="E446" s="544"/>
      <c r="F446" s="544"/>
      <c r="G446" s="544"/>
      <c r="H446" s="544"/>
      <c r="I446" s="543"/>
      <c r="J446" s="543"/>
      <c r="K446" s="544"/>
      <c r="L446" s="543"/>
      <c r="M446" s="544"/>
      <c r="N446" s="543"/>
      <c r="O446" s="544"/>
      <c r="P446" s="544"/>
      <c r="Q446" s="544"/>
      <c r="R446" s="544"/>
      <c r="S446" s="544"/>
    </row>
    <row r="447" ht="14.25" customHeight="1">
      <c r="A447" s="542"/>
      <c r="B447" s="543"/>
      <c r="C447" s="543"/>
      <c r="D447" s="544"/>
      <c r="E447" s="544"/>
      <c r="F447" s="544"/>
      <c r="G447" s="544"/>
      <c r="H447" s="544"/>
      <c r="I447" s="543"/>
      <c r="J447" s="543"/>
      <c r="K447" s="544"/>
      <c r="L447" s="543"/>
      <c r="M447" s="544"/>
      <c r="N447" s="543"/>
      <c r="O447" s="544"/>
      <c r="P447" s="544"/>
      <c r="Q447" s="544"/>
      <c r="R447" s="544"/>
      <c r="S447" s="544"/>
    </row>
    <row r="448" ht="14.25" customHeight="1">
      <c r="A448" s="542"/>
      <c r="B448" s="543"/>
      <c r="C448" s="543"/>
      <c r="D448" s="544"/>
      <c r="E448" s="544"/>
      <c r="F448" s="544"/>
      <c r="G448" s="544"/>
      <c r="H448" s="544"/>
      <c r="I448" s="543"/>
      <c r="J448" s="543"/>
      <c r="K448" s="544"/>
      <c r="L448" s="543"/>
      <c r="M448" s="544"/>
      <c r="N448" s="543"/>
      <c r="O448" s="544"/>
      <c r="P448" s="544"/>
      <c r="Q448" s="544"/>
      <c r="R448" s="544"/>
      <c r="S448" s="544"/>
    </row>
    <row r="449" ht="14.25" customHeight="1">
      <c r="A449" s="542"/>
      <c r="B449" s="543"/>
      <c r="C449" s="543"/>
      <c r="D449" s="544"/>
      <c r="E449" s="544"/>
      <c r="F449" s="544"/>
      <c r="G449" s="544"/>
      <c r="H449" s="544"/>
      <c r="I449" s="543"/>
      <c r="J449" s="543"/>
      <c r="K449" s="544"/>
      <c r="L449" s="543"/>
      <c r="M449" s="544"/>
      <c r="N449" s="543"/>
      <c r="O449" s="544"/>
      <c r="P449" s="544"/>
      <c r="Q449" s="544"/>
      <c r="R449" s="544"/>
      <c r="S449" s="544"/>
    </row>
    <row r="450" ht="14.25" customHeight="1">
      <c r="A450" s="542"/>
      <c r="B450" s="543"/>
      <c r="C450" s="543"/>
      <c r="D450" s="544"/>
      <c r="E450" s="544"/>
      <c r="F450" s="544"/>
      <c r="G450" s="544"/>
      <c r="H450" s="544"/>
      <c r="I450" s="543"/>
      <c r="J450" s="543"/>
      <c r="K450" s="544"/>
      <c r="L450" s="543"/>
      <c r="M450" s="544"/>
      <c r="N450" s="543"/>
      <c r="O450" s="544"/>
      <c r="P450" s="544"/>
      <c r="Q450" s="544"/>
      <c r="R450" s="544"/>
      <c r="S450" s="544"/>
    </row>
    <row r="451" ht="14.25" customHeight="1">
      <c r="A451" s="542"/>
      <c r="B451" s="543"/>
      <c r="C451" s="543"/>
      <c r="D451" s="544"/>
      <c r="E451" s="544"/>
      <c r="F451" s="544"/>
      <c r="G451" s="544"/>
      <c r="H451" s="544"/>
      <c r="I451" s="543"/>
      <c r="J451" s="543"/>
      <c r="K451" s="544"/>
      <c r="L451" s="543"/>
      <c r="M451" s="544"/>
      <c r="N451" s="543"/>
      <c r="O451" s="544"/>
      <c r="P451" s="544"/>
      <c r="Q451" s="544"/>
      <c r="R451" s="544"/>
      <c r="S451" s="544"/>
    </row>
    <row r="452" ht="14.25" customHeight="1">
      <c r="A452" s="542"/>
      <c r="B452" s="543"/>
      <c r="C452" s="543"/>
      <c r="D452" s="544"/>
      <c r="E452" s="544"/>
      <c r="F452" s="544"/>
      <c r="G452" s="544"/>
      <c r="H452" s="544"/>
      <c r="I452" s="543"/>
      <c r="J452" s="543"/>
      <c r="K452" s="544"/>
      <c r="L452" s="543"/>
      <c r="M452" s="544"/>
      <c r="N452" s="543"/>
      <c r="O452" s="544"/>
      <c r="P452" s="544"/>
      <c r="Q452" s="544"/>
      <c r="R452" s="544"/>
      <c r="S452" s="544"/>
    </row>
    <row r="453" ht="14.25" customHeight="1">
      <c r="A453" s="542"/>
      <c r="B453" s="543"/>
      <c r="C453" s="543"/>
      <c r="D453" s="544"/>
      <c r="E453" s="544"/>
      <c r="F453" s="544"/>
      <c r="G453" s="544"/>
      <c r="H453" s="544"/>
      <c r="I453" s="543"/>
      <c r="J453" s="543"/>
      <c r="K453" s="544"/>
      <c r="L453" s="543"/>
      <c r="M453" s="544"/>
      <c r="N453" s="543"/>
      <c r="O453" s="544"/>
      <c r="P453" s="544"/>
      <c r="Q453" s="544"/>
      <c r="R453" s="544"/>
      <c r="S453" s="544"/>
    </row>
    <row r="454" ht="14.25" customHeight="1">
      <c r="A454" s="542"/>
      <c r="B454" s="543"/>
      <c r="C454" s="543"/>
      <c r="D454" s="544"/>
      <c r="E454" s="544"/>
      <c r="F454" s="544"/>
      <c r="G454" s="544"/>
      <c r="H454" s="544"/>
      <c r="I454" s="543"/>
      <c r="J454" s="543"/>
      <c r="K454" s="544"/>
      <c r="L454" s="543"/>
      <c r="M454" s="544"/>
      <c r="N454" s="543"/>
      <c r="O454" s="544"/>
      <c r="P454" s="544"/>
      <c r="Q454" s="544"/>
      <c r="R454" s="544"/>
      <c r="S454" s="544"/>
    </row>
    <row r="455" ht="14.25" customHeight="1">
      <c r="A455" s="542"/>
      <c r="B455" s="543"/>
      <c r="C455" s="543"/>
      <c r="D455" s="544"/>
      <c r="E455" s="544"/>
      <c r="F455" s="544"/>
      <c r="G455" s="544"/>
      <c r="H455" s="544"/>
      <c r="I455" s="543"/>
      <c r="J455" s="543"/>
      <c r="K455" s="544"/>
      <c r="L455" s="543"/>
      <c r="M455" s="544"/>
      <c r="N455" s="543"/>
      <c r="O455" s="544"/>
      <c r="P455" s="544"/>
      <c r="Q455" s="544"/>
      <c r="R455" s="544"/>
      <c r="S455" s="544"/>
    </row>
    <row r="456" ht="14.25" customHeight="1">
      <c r="A456" s="542"/>
      <c r="B456" s="543"/>
      <c r="C456" s="543"/>
      <c r="D456" s="544"/>
      <c r="E456" s="544"/>
      <c r="F456" s="544"/>
      <c r="G456" s="544"/>
      <c r="H456" s="544"/>
      <c r="I456" s="543"/>
      <c r="J456" s="543"/>
      <c r="K456" s="544"/>
      <c r="L456" s="543"/>
      <c r="M456" s="544"/>
      <c r="N456" s="543"/>
      <c r="O456" s="544"/>
      <c r="P456" s="544"/>
      <c r="Q456" s="544"/>
      <c r="R456" s="544"/>
      <c r="S456" s="544"/>
    </row>
    <row r="457" ht="14.25" customHeight="1">
      <c r="A457" s="542"/>
      <c r="B457" s="543"/>
      <c r="C457" s="543"/>
      <c r="D457" s="544"/>
      <c r="E457" s="544"/>
      <c r="F457" s="544"/>
      <c r="G457" s="544"/>
      <c r="H457" s="544"/>
      <c r="I457" s="543"/>
      <c r="J457" s="543"/>
      <c r="K457" s="544"/>
      <c r="L457" s="543"/>
      <c r="M457" s="544"/>
      <c r="N457" s="543"/>
      <c r="O457" s="544"/>
      <c r="P457" s="544"/>
      <c r="Q457" s="544"/>
      <c r="R457" s="544"/>
      <c r="S457" s="544"/>
    </row>
    <row r="458" ht="14.25" customHeight="1">
      <c r="A458" s="542"/>
      <c r="B458" s="543"/>
      <c r="C458" s="543"/>
      <c r="D458" s="544"/>
      <c r="E458" s="544"/>
      <c r="F458" s="544"/>
      <c r="G458" s="544"/>
      <c r="H458" s="544"/>
      <c r="I458" s="543"/>
      <c r="J458" s="543"/>
      <c r="K458" s="544"/>
      <c r="L458" s="543"/>
      <c r="M458" s="544"/>
      <c r="N458" s="543"/>
      <c r="O458" s="544"/>
      <c r="P458" s="544"/>
      <c r="Q458" s="544"/>
      <c r="R458" s="544"/>
      <c r="S458" s="544"/>
    </row>
    <row r="459" ht="14.25" customHeight="1">
      <c r="A459" s="542"/>
      <c r="B459" s="543"/>
      <c r="C459" s="543"/>
      <c r="D459" s="544"/>
      <c r="E459" s="544"/>
      <c r="F459" s="544"/>
      <c r="G459" s="544"/>
      <c r="H459" s="544"/>
      <c r="I459" s="543"/>
      <c r="J459" s="543"/>
      <c r="K459" s="544"/>
      <c r="L459" s="543"/>
      <c r="M459" s="544"/>
      <c r="N459" s="543"/>
      <c r="O459" s="544"/>
      <c r="P459" s="544"/>
      <c r="Q459" s="544"/>
      <c r="R459" s="544"/>
      <c r="S459" s="544"/>
    </row>
    <row r="460" ht="14.25" customHeight="1">
      <c r="A460" s="542"/>
      <c r="B460" s="543"/>
      <c r="C460" s="543"/>
      <c r="D460" s="544"/>
      <c r="E460" s="544"/>
      <c r="F460" s="544"/>
      <c r="G460" s="544"/>
      <c r="H460" s="544"/>
      <c r="I460" s="543"/>
      <c r="J460" s="543"/>
      <c r="K460" s="544"/>
      <c r="L460" s="543"/>
      <c r="M460" s="544"/>
      <c r="N460" s="543"/>
      <c r="O460" s="544"/>
      <c r="P460" s="544"/>
      <c r="Q460" s="544"/>
      <c r="R460" s="544"/>
      <c r="S460" s="544"/>
    </row>
    <row r="461" ht="14.25" customHeight="1">
      <c r="A461" s="542"/>
      <c r="B461" s="543"/>
      <c r="C461" s="543"/>
      <c r="D461" s="544"/>
      <c r="E461" s="544"/>
      <c r="F461" s="544"/>
      <c r="G461" s="544"/>
      <c r="H461" s="544"/>
      <c r="I461" s="543"/>
      <c r="J461" s="543"/>
      <c r="K461" s="544"/>
      <c r="L461" s="543"/>
      <c r="M461" s="544"/>
      <c r="N461" s="543"/>
      <c r="O461" s="544"/>
      <c r="P461" s="544"/>
      <c r="Q461" s="544"/>
      <c r="R461" s="544"/>
      <c r="S461" s="544"/>
    </row>
    <row r="462" ht="14.25" customHeight="1">
      <c r="A462" s="542"/>
      <c r="B462" s="543"/>
      <c r="C462" s="543"/>
      <c r="D462" s="544"/>
      <c r="E462" s="544"/>
      <c r="F462" s="544"/>
      <c r="G462" s="544"/>
      <c r="H462" s="544"/>
      <c r="I462" s="543"/>
      <c r="J462" s="543"/>
      <c r="K462" s="544"/>
      <c r="L462" s="543"/>
      <c r="M462" s="544"/>
      <c r="N462" s="543"/>
      <c r="O462" s="544"/>
      <c r="P462" s="544"/>
      <c r="Q462" s="544"/>
      <c r="R462" s="544"/>
      <c r="S462" s="544"/>
    </row>
    <row r="463" ht="14.25" customHeight="1">
      <c r="A463" s="542"/>
      <c r="B463" s="543"/>
      <c r="C463" s="543"/>
      <c r="D463" s="544"/>
      <c r="E463" s="544"/>
      <c r="F463" s="544"/>
      <c r="G463" s="544"/>
      <c r="H463" s="544"/>
      <c r="I463" s="543"/>
      <c r="J463" s="543"/>
      <c r="K463" s="544"/>
      <c r="L463" s="543"/>
      <c r="M463" s="544"/>
      <c r="N463" s="543"/>
      <c r="O463" s="544"/>
      <c r="P463" s="544"/>
      <c r="Q463" s="544"/>
      <c r="R463" s="544"/>
      <c r="S463" s="544"/>
    </row>
    <row r="464" ht="14.25" customHeight="1">
      <c r="A464" s="542"/>
      <c r="B464" s="543"/>
      <c r="C464" s="543"/>
      <c r="D464" s="544"/>
      <c r="E464" s="544"/>
      <c r="F464" s="544"/>
      <c r="G464" s="544"/>
      <c r="H464" s="544"/>
      <c r="I464" s="543"/>
      <c r="J464" s="543"/>
      <c r="K464" s="544"/>
      <c r="L464" s="543"/>
      <c r="M464" s="544"/>
      <c r="N464" s="543"/>
      <c r="O464" s="544"/>
      <c r="P464" s="544"/>
      <c r="Q464" s="544"/>
      <c r="R464" s="544"/>
      <c r="S464" s="544"/>
    </row>
    <row r="465" ht="14.25" customHeight="1">
      <c r="A465" s="542"/>
      <c r="B465" s="543"/>
      <c r="C465" s="543"/>
      <c r="D465" s="544"/>
      <c r="E465" s="544"/>
      <c r="F465" s="544"/>
      <c r="G465" s="544"/>
      <c r="H465" s="544"/>
      <c r="I465" s="543"/>
      <c r="J465" s="543"/>
      <c r="K465" s="544"/>
      <c r="L465" s="543"/>
      <c r="M465" s="544"/>
      <c r="N465" s="543"/>
      <c r="O465" s="544"/>
      <c r="P465" s="544"/>
      <c r="Q465" s="544"/>
      <c r="R465" s="544"/>
      <c r="S465" s="544"/>
    </row>
    <row r="466" ht="14.25" customHeight="1">
      <c r="A466" s="542"/>
      <c r="B466" s="543"/>
      <c r="C466" s="543"/>
      <c r="D466" s="544"/>
      <c r="E466" s="544"/>
      <c r="F466" s="544"/>
      <c r="G466" s="544"/>
      <c r="H466" s="544"/>
      <c r="I466" s="543"/>
      <c r="J466" s="543"/>
      <c r="K466" s="544"/>
      <c r="L466" s="543"/>
      <c r="M466" s="544"/>
      <c r="N466" s="543"/>
      <c r="O466" s="544"/>
      <c r="P466" s="544"/>
      <c r="Q466" s="544"/>
      <c r="R466" s="544"/>
      <c r="S466" s="544"/>
    </row>
    <row r="467" ht="14.25" customHeight="1">
      <c r="A467" s="542"/>
      <c r="B467" s="543"/>
      <c r="C467" s="543"/>
      <c r="D467" s="544"/>
      <c r="E467" s="544"/>
      <c r="F467" s="544"/>
      <c r="G467" s="544"/>
      <c r="H467" s="544"/>
      <c r="I467" s="543"/>
      <c r="J467" s="543"/>
      <c r="K467" s="544"/>
      <c r="L467" s="543"/>
      <c r="M467" s="544"/>
      <c r="N467" s="543"/>
      <c r="O467" s="544"/>
      <c r="P467" s="544"/>
      <c r="Q467" s="544"/>
      <c r="R467" s="544"/>
      <c r="S467" s="544"/>
    </row>
    <row r="468" ht="14.25" customHeight="1">
      <c r="A468" s="542"/>
      <c r="B468" s="543"/>
      <c r="C468" s="543"/>
      <c r="D468" s="544"/>
      <c r="E468" s="544"/>
      <c r="F468" s="544"/>
      <c r="G468" s="544"/>
      <c r="H468" s="544"/>
      <c r="I468" s="543"/>
      <c r="J468" s="543"/>
      <c r="K468" s="544"/>
      <c r="L468" s="543"/>
      <c r="M468" s="544"/>
      <c r="N468" s="543"/>
      <c r="O468" s="544"/>
      <c r="P468" s="544"/>
      <c r="Q468" s="544"/>
      <c r="R468" s="544"/>
      <c r="S468" s="544"/>
    </row>
    <row r="469" ht="14.25" customHeight="1">
      <c r="A469" s="542"/>
      <c r="B469" s="543"/>
      <c r="C469" s="543"/>
      <c r="D469" s="544"/>
      <c r="E469" s="544"/>
      <c r="F469" s="544"/>
      <c r="G469" s="544"/>
      <c r="H469" s="544"/>
      <c r="I469" s="543"/>
      <c r="J469" s="543"/>
      <c r="K469" s="544"/>
      <c r="L469" s="543"/>
      <c r="M469" s="544"/>
      <c r="N469" s="543"/>
      <c r="O469" s="544"/>
      <c r="P469" s="544"/>
      <c r="Q469" s="544"/>
      <c r="R469" s="544"/>
      <c r="S469" s="544"/>
    </row>
    <row r="470" ht="14.25" customHeight="1">
      <c r="A470" s="542"/>
      <c r="B470" s="543"/>
      <c r="C470" s="543"/>
      <c r="D470" s="544"/>
      <c r="E470" s="544"/>
      <c r="F470" s="544"/>
      <c r="G470" s="544"/>
      <c r="H470" s="544"/>
      <c r="I470" s="543"/>
      <c r="J470" s="543"/>
      <c r="K470" s="544"/>
      <c r="L470" s="543"/>
      <c r="M470" s="544"/>
      <c r="N470" s="543"/>
      <c r="O470" s="544"/>
      <c r="P470" s="544"/>
      <c r="Q470" s="544"/>
      <c r="R470" s="544"/>
      <c r="S470" s="544"/>
    </row>
    <row r="471" ht="14.25" customHeight="1">
      <c r="A471" s="542"/>
      <c r="B471" s="543"/>
      <c r="C471" s="543"/>
      <c r="D471" s="544"/>
      <c r="E471" s="544"/>
      <c r="F471" s="544"/>
      <c r="G471" s="544"/>
      <c r="H471" s="544"/>
      <c r="I471" s="543"/>
      <c r="J471" s="543"/>
      <c r="K471" s="544"/>
      <c r="L471" s="543"/>
      <c r="M471" s="544"/>
      <c r="N471" s="543"/>
      <c r="O471" s="544"/>
      <c r="P471" s="544"/>
      <c r="Q471" s="544"/>
      <c r="R471" s="544"/>
      <c r="S471" s="544"/>
    </row>
    <row r="472" ht="14.25" customHeight="1">
      <c r="A472" s="542"/>
      <c r="B472" s="543"/>
      <c r="C472" s="543"/>
      <c r="D472" s="544"/>
      <c r="E472" s="544"/>
      <c r="F472" s="544"/>
      <c r="G472" s="544"/>
      <c r="H472" s="544"/>
      <c r="I472" s="543"/>
      <c r="J472" s="543"/>
      <c r="K472" s="544"/>
      <c r="L472" s="543"/>
      <c r="M472" s="544"/>
      <c r="N472" s="543"/>
      <c r="O472" s="544"/>
      <c r="P472" s="544"/>
      <c r="Q472" s="544"/>
      <c r="R472" s="544"/>
      <c r="S472" s="544"/>
    </row>
    <row r="473" ht="14.25" customHeight="1">
      <c r="A473" s="542"/>
      <c r="B473" s="543"/>
      <c r="C473" s="543"/>
      <c r="D473" s="544"/>
      <c r="E473" s="544"/>
      <c r="F473" s="544"/>
      <c r="G473" s="544"/>
      <c r="H473" s="544"/>
      <c r="I473" s="543"/>
      <c r="J473" s="543"/>
      <c r="K473" s="544"/>
      <c r="L473" s="543"/>
      <c r="M473" s="544"/>
      <c r="N473" s="543"/>
      <c r="O473" s="544"/>
      <c r="P473" s="544"/>
      <c r="Q473" s="544"/>
      <c r="R473" s="544"/>
      <c r="S473" s="544"/>
    </row>
    <row r="474" ht="14.25" customHeight="1">
      <c r="A474" s="542"/>
      <c r="B474" s="543"/>
      <c r="C474" s="543"/>
      <c r="D474" s="544"/>
      <c r="E474" s="544"/>
      <c r="F474" s="544"/>
      <c r="G474" s="544"/>
      <c r="H474" s="544"/>
      <c r="I474" s="543"/>
      <c r="J474" s="543"/>
      <c r="K474" s="544"/>
      <c r="L474" s="543"/>
      <c r="M474" s="544"/>
      <c r="N474" s="543"/>
      <c r="O474" s="544"/>
      <c r="P474" s="544"/>
      <c r="Q474" s="544"/>
      <c r="R474" s="544"/>
      <c r="S474" s="544"/>
    </row>
    <row r="475" ht="14.25" customHeight="1">
      <c r="A475" s="542"/>
      <c r="B475" s="543"/>
      <c r="C475" s="543"/>
      <c r="D475" s="544"/>
      <c r="E475" s="544"/>
      <c r="F475" s="544"/>
      <c r="G475" s="544"/>
      <c r="H475" s="544"/>
      <c r="I475" s="543"/>
      <c r="J475" s="543"/>
      <c r="K475" s="544"/>
      <c r="L475" s="543"/>
      <c r="M475" s="544"/>
      <c r="N475" s="543"/>
      <c r="O475" s="544"/>
      <c r="P475" s="544"/>
      <c r="Q475" s="544"/>
      <c r="R475" s="544"/>
      <c r="S475" s="544"/>
    </row>
    <row r="476" ht="14.25" customHeight="1">
      <c r="A476" s="542"/>
      <c r="B476" s="543"/>
      <c r="C476" s="543"/>
      <c r="D476" s="544"/>
      <c r="E476" s="544"/>
      <c r="F476" s="544"/>
      <c r="G476" s="544"/>
      <c r="H476" s="544"/>
      <c r="I476" s="543"/>
      <c r="J476" s="543"/>
      <c r="K476" s="544"/>
      <c r="L476" s="543"/>
      <c r="M476" s="544"/>
      <c r="N476" s="543"/>
      <c r="O476" s="544"/>
      <c r="P476" s="544"/>
      <c r="Q476" s="544"/>
      <c r="R476" s="544"/>
      <c r="S476" s="544"/>
    </row>
    <row r="477" ht="14.25" customHeight="1">
      <c r="A477" s="542"/>
      <c r="B477" s="543"/>
      <c r="C477" s="543"/>
      <c r="D477" s="544"/>
      <c r="E477" s="544"/>
      <c r="F477" s="544"/>
      <c r="G477" s="544"/>
      <c r="H477" s="544"/>
      <c r="I477" s="543"/>
      <c r="J477" s="543"/>
      <c r="K477" s="544"/>
      <c r="L477" s="543"/>
      <c r="M477" s="544"/>
      <c r="N477" s="543"/>
      <c r="O477" s="544"/>
      <c r="P477" s="544"/>
      <c r="Q477" s="544"/>
      <c r="R477" s="544"/>
      <c r="S477" s="544"/>
    </row>
    <row r="478" ht="14.25" customHeight="1">
      <c r="A478" s="542"/>
      <c r="B478" s="543"/>
      <c r="C478" s="543"/>
      <c r="D478" s="544"/>
      <c r="E478" s="544"/>
      <c r="F478" s="544"/>
      <c r="G478" s="544"/>
      <c r="H478" s="544"/>
      <c r="I478" s="543"/>
      <c r="J478" s="543"/>
      <c r="K478" s="544"/>
      <c r="L478" s="543"/>
      <c r="M478" s="544"/>
      <c r="N478" s="543"/>
      <c r="O478" s="544"/>
      <c r="P478" s="544"/>
      <c r="Q478" s="544"/>
      <c r="R478" s="544"/>
      <c r="S478" s="544"/>
    </row>
    <row r="479" ht="14.25" customHeight="1">
      <c r="A479" s="542"/>
      <c r="B479" s="543"/>
      <c r="C479" s="543"/>
      <c r="D479" s="544"/>
      <c r="E479" s="544"/>
      <c r="F479" s="544"/>
      <c r="G479" s="544"/>
      <c r="H479" s="544"/>
      <c r="I479" s="543"/>
      <c r="J479" s="543"/>
      <c r="K479" s="544"/>
      <c r="L479" s="543"/>
      <c r="M479" s="544"/>
      <c r="N479" s="543"/>
      <c r="O479" s="544"/>
      <c r="P479" s="544"/>
      <c r="Q479" s="544"/>
      <c r="R479" s="544"/>
      <c r="S479" s="544"/>
    </row>
    <row r="480" ht="14.25" customHeight="1">
      <c r="A480" s="542"/>
      <c r="B480" s="543"/>
      <c r="C480" s="543"/>
      <c r="D480" s="544"/>
      <c r="E480" s="544"/>
      <c r="F480" s="544"/>
      <c r="G480" s="544"/>
      <c r="H480" s="544"/>
      <c r="I480" s="543"/>
      <c r="J480" s="543"/>
      <c r="K480" s="544"/>
      <c r="L480" s="543"/>
      <c r="M480" s="544"/>
      <c r="N480" s="543"/>
      <c r="O480" s="544"/>
      <c r="P480" s="544"/>
      <c r="Q480" s="544"/>
      <c r="R480" s="544"/>
      <c r="S480" s="544"/>
    </row>
    <row r="481" ht="14.25" customHeight="1">
      <c r="A481" s="542"/>
      <c r="B481" s="543"/>
      <c r="C481" s="543"/>
      <c r="D481" s="544"/>
      <c r="E481" s="544"/>
      <c r="F481" s="544"/>
      <c r="G481" s="544"/>
      <c r="H481" s="544"/>
      <c r="I481" s="543"/>
      <c r="J481" s="543"/>
      <c r="K481" s="544"/>
      <c r="L481" s="543"/>
      <c r="M481" s="544"/>
      <c r="N481" s="543"/>
      <c r="O481" s="544"/>
      <c r="P481" s="544"/>
      <c r="Q481" s="544"/>
      <c r="R481" s="544"/>
      <c r="S481" s="544"/>
    </row>
    <row r="482" ht="14.25" customHeight="1">
      <c r="A482" s="542"/>
      <c r="B482" s="543"/>
      <c r="C482" s="543"/>
      <c r="D482" s="544"/>
      <c r="E482" s="544"/>
      <c r="F482" s="544"/>
      <c r="G482" s="544"/>
      <c r="H482" s="544"/>
      <c r="I482" s="543"/>
      <c r="J482" s="543"/>
      <c r="K482" s="544"/>
      <c r="L482" s="543"/>
      <c r="M482" s="544"/>
      <c r="N482" s="543"/>
      <c r="O482" s="544"/>
      <c r="P482" s="544"/>
      <c r="Q482" s="544"/>
      <c r="R482" s="544"/>
      <c r="S482" s="544"/>
    </row>
    <row r="483" ht="14.25" customHeight="1">
      <c r="A483" s="542"/>
      <c r="B483" s="543"/>
      <c r="C483" s="543"/>
      <c r="D483" s="544"/>
      <c r="E483" s="544"/>
      <c r="F483" s="544"/>
      <c r="G483" s="544"/>
      <c r="H483" s="544"/>
      <c r="I483" s="543"/>
      <c r="J483" s="543"/>
      <c r="K483" s="544"/>
      <c r="L483" s="543"/>
      <c r="M483" s="544"/>
      <c r="N483" s="543"/>
      <c r="O483" s="544"/>
      <c r="P483" s="544"/>
      <c r="Q483" s="544"/>
      <c r="R483" s="544"/>
      <c r="S483" s="544"/>
    </row>
    <row r="484" ht="14.25" customHeight="1">
      <c r="A484" s="542"/>
      <c r="B484" s="543"/>
      <c r="C484" s="543"/>
      <c r="D484" s="544"/>
      <c r="E484" s="544"/>
      <c r="F484" s="544"/>
      <c r="G484" s="544"/>
      <c r="H484" s="544"/>
      <c r="I484" s="543"/>
      <c r="J484" s="543"/>
      <c r="K484" s="544"/>
      <c r="L484" s="543"/>
      <c r="M484" s="544"/>
      <c r="N484" s="543"/>
      <c r="O484" s="544"/>
      <c r="P484" s="544"/>
      <c r="Q484" s="544"/>
      <c r="R484" s="544"/>
      <c r="S484" s="544"/>
    </row>
    <row r="485" ht="14.25" customHeight="1">
      <c r="A485" s="542"/>
      <c r="B485" s="543"/>
      <c r="C485" s="543"/>
      <c r="D485" s="544"/>
      <c r="E485" s="544"/>
      <c r="F485" s="544"/>
      <c r="G485" s="544"/>
      <c r="H485" s="544"/>
      <c r="I485" s="543"/>
      <c r="J485" s="543"/>
      <c r="K485" s="544"/>
      <c r="L485" s="543"/>
      <c r="M485" s="544"/>
      <c r="N485" s="543"/>
      <c r="O485" s="544"/>
      <c r="P485" s="544"/>
      <c r="Q485" s="544"/>
      <c r="R485" s="544"/>
      <c r="S485" s="544"/>
    </row>
    <row r="486" ht="14.25" customHeight="1">
      <c r="A486" s="542"/>
      <c r="B486" s="543"/>
      <c r="C486" s="543"/>
      <c r="D486" s="544"/>
      <c r="E486" s="544"/>
      <c r="F486" s="544"/>
      <c r="G486" s="544"/>
      <c r="H486" s="544"/>
      <c r="I486" s="543"/>
      <c r="J486" s="543"/>
      <c r="K486" s="544"/>
      <c r="L486" s="543"/>
      <c r="M486" s="544"/>
      <c r="N486" s="543"/>
      <c r="O486" s="544"/>
      <c r="P486" s="544"/>
      <c r="Q486" s="544"/>
      <c r="R486" s="544"/>
      <c r="S486" s="544"/>
    </row>
    <row r="487" ht="14.25" customHeight="1">
      <c r="A487" s="542"/>
      <c r="B487" s="543"/>
      <c r="C487" s="543"/>
      <c r="D487" s="544"/>
      <c r="E487" s="544"/>
      <c r="F487" s="544"/>
      <c r="G487" s="544"/>
      <c r="H487" s="544"/>
      <c r="I487" s="543"/>
      <c r="J487" s="543"/>
      <c r="K487" s="544"/>
      <c r="L487" s="543"/>
      <c r="M487" s="544"/>
      <c r="N487" s="543"/>
      <c r="O487" s="544"/>
      <c r="P487" s="544"/>
      <c r="Q487" s="544"/>
      <c r="R487" s="544"/>
      <c r="S487" s="544"/>
    </row>
    <row r="488" ht="14.25" customHeight="1">
      <c r="A488" s="542"/>
      <c r="B488" s="543"/>
      <c r="C488" s="543"/>
      <c r="D488" s="544"/>
      <c r="E488" s="544"/>
      <c r="F488" s="544"/>
      <c r="G488" s="544"/>
      <c r="H488" s="544"/>
      <c r="I488" s="543"/>
      <c r="J488" s="543"/>
      <c r="K488" s="544"/>
      <c r="L488" s="543"/>
      <c r="M488" s="544"/>
      <c r="N488" s="543"/>
      <c r="O488" s="544"/>
      <c r="P488" s="544"/>
      <c r="Q488" s="544"/>
      <c r="R488" s="544"/>
      <c r="S488" s="544"/>
    </row>
    <row r="489" ht="14.25" customHeight="1">
      <c r="A489" s="542"/>
      <c r="B489" s="543"/>
      <c r="C489" s="543"/>
      <c r="D489" s="544"/>
      <c r="E489" s="544"/>
      <c r="F489" s="544"/>
      <c r="G489" s="544"/>
      <c r="H489" s="544"/>
      <c r="I489" s="543"/>
      <c r="J489" s="543"/>
      <c r="K489" s="544"/>
      <c r="L489" s="543"/>
      <c r="M489" s="544"/>
      <c r="N489" s="543"/>
      <c r="O489" s="544"/>
      <c r="P489" s="544"/>
      <c r="Q489" s="544"/>
      <c r="R489" s="544"/>
      <c r="S489" s="544"/>
    </row>
    <row r="490" ht="14.25" customHeight="1">
      <c r="A490" s="542"/>
      <c r="B490" s="543"/>
      <c r="C490" s="543"/>
      <c r="D490" s="544"/>
      <c r="E490" s="544"/>
      <c r="F490" s="544"/>
      <c r="G490" s="544"/>
      <c r="H490" s="544"/>
      <c r="I490" s="543"/>
      <c r="J490" s="543"/>
      <c r="K490" s="544"/>
      <c r="L490" s="543"/>
      <c r="M490" s="544"/>
      <c r="N490" s="543"/>
      <c r="O490" s="544"/>
      <c r="P490" s="544"/>
      <c r="Q490" s="544"/>
      <c r="R490" s="544"/>
      <c r="S490" s="544"/>
    </row>
    <row r="491" ht="14.25" customHeight="1">
      <c r="A491" s="542"/>
      <c r="B491" s="543"/>
      <c r="C491" s="543"/>
      <c r="D491" s="544"/>
      <c r="E491" s="544"/>
      <c r="F491" s="544"/>
      <c r="G491" s="544"/>
      <c r="H491" s="544"/>
      <c r="I491" s="543"/>
      <c r="J491" s="543"/>
      <c r="K491" s="544"/>
      <c r="L491" s="543"/>
      <c r="M491" s="544"/>
      <c r="N491" s="543"/>
      <c r="O491" s="544"/>
      <c r="P491" s="544"/>
      <c r="Q491" s="544"/>
      <c r="R491" s="544"/>
      <c r="S491" s="544"/>
    </row>
    <row r="492" ht="14.25" customHeight="1">
      <c r="A492" s="542"/>
      <c r="B492" s="543"/>
      <c r="C492" s="543"/>
      <c r="D492" s="544"/>
      <c r="E492" s="544"/>
      <c r="F492" s="544"/>
      <c r="G492" s="544"/>
      <c r="H492" s="544"/>
      <c r="I492" s="543"/>
      <c r="J492" s="543"/>
      <c r="K492" s="544"/>
      <c r="L492" s="543"/>
      <c r="M492" s="544"/>
      <c r="N492" s="543"/>
      <c r="O492" s="544"/>
      <c r="P492" s="544"/>
      <c r="Q492" s="544"/>
      <c r="R492" s="544"/>
      <c r="S492" s="544"/>
    </row>
    <row r="493" ht="14.25" customHeight="1">
      <c r="A493" s="542"/>
      <c r="B493" s="543"/>
      <c r="C493" s="543"/>
      <c r="D493" s="544"/>
      <c r="E493" s="544"/>
      <c r="F493" s="544"/>
      <c r="G493" s="544"/>
      <c r="H493" s="544"/>
      <c r="I493" s="543"/>
      <c r="J493" s="543"/>
      <c r="K493" s="544"/>
      <c r="L493" s="543"/>
      <c r="M493" s="544"/>
      <c r="N493" s="543"/>
      <c r="O493" s="544"/>
      <c r="P493" s="544"/>
      <c r="Q493" s="544"/>
      <c r="R493" s="544"/>
      <c r="S493" s="544"/>
    </row>
    <row r="494" ht="14.25" customHeight="1">
      <c r="A494" s="542"/>
      <c r="B494" s="543"/>
      <c r="C494" s="543"/>
      <c r="D494" s="544"/>
      <c r="E494" s="544"/>
      <c r="F494" s="544"/>
      <c r="G494" s="544"/>
      <c r="H494" s="544"/>
      <c r="I494" s="543"/>
      <c r="J494" s="543"/>
      <c r="K494" s="544"/>
      <c r="L494" s="543"/>
      <c r="M494" s="544"/>
      <c r="N494" s="543"/>
      <c r="O494" s="544"/>
      <c r="P494" s="544"/>
      <c r="Q494" s="544"/>
      <c r="R494" s="544"/>
      <c r="S494" s="544"/>
    </row>
    <row r="495" ht="14.25" customHeight="1">
      <c r="A495" s="542"/>
      <c r="B495" s="543"/>
      <c r="C495" s="543"/>
      <c r="D495" s="544"/>
      <c r="E495" s="544"/>
      <c r="F495" s="544"/>
      <c r="G495" s="544"/>
      <c r="H495" s="544"/>
      <c r="I495" s="543"/>
      <c r="J495" s="543"/>
      <c r="K495" s="544"/>
      <c r="L495" s="543"/>
      <c r="M495" s="544"/>
      <c r="N495" s="543"/>
      <c r="O495" s="544"/>
      <c r="P495" s="544"/>
      <c r="Q495" s="544"/>
      <c r="R495" s="544"/>
      <c r="S495" s="544"/>
    </row>
    <row r="496" ht="14.25" customHeight="1">
      <c r="A496" s="542"/>
      <c r="B496" s="543"/>
      <c r="C496" s="543"/>
      <c r="D496" s="544"/>
      <c r="E496" s="544"/>
      <c r="F496" s="544"/>
      <c r="G496" s="544"/>
      <c r="H496" s="544"/>
      <c r="I496" s="543"/>
      <c r="J496" s="543"/>
      <c r="K496" s="544"/>
      <c r="L496" s="543"/>
      <c r="M496" s="544"/>
      <c r="N496" s="543"/>
      <c r="O496" s="544"/>
      <c r="P496" s="544"/>
      <c r="Q496" s="544"/>
      <c r="R496" s="544"/>
      <c r="S496" s="544"/>
    </row>
    <row r="497" ht="14.25" customHeight="1">
      <c r="A497" s="542"/>
      <c r="B497" s="543"/>
      <c r="C497" s="543"/>
      <c r="D497" s="544"/>
      <c r="E497" s="544"/>
      <c r="F497" s="544"/>
      <c r="G497" s="544"/>
      <c r="H497" s="544"/>
      <c r="I497" s="543"/>
      <c r="J497" s="543"/>
      <c r="K497" s="544"/>
      <c r="L497" s="543"/>
      <c r="M497" s="544"/>
      <c r="N497" s="543"/>
      <c r="O497" s="544"/>
      <c r="P497" s="544"/>
      <c r="Q497" s="544"/>
      <c r="R497" s="544"/>
      <c r="S497" s="544"/>
    </row>
    <row r="498" ht="14.25" customHeight="1">
      <c r="A498" s="542"/>
      <c r="B498" s="543"/>
      <c r="C498" s="543"/>
      <c r="D498" s="544"/>
      <c r="E498" s="544"/>
      <c r="F498" s="544"/>
      <c r="G498" s="544"/>
      <c r="H498" s="544"/>
      <c r="I498" s="543"/>
      <c r="J498" s="543"/>
      <c r="K498" s="544"/>
      <c r="L498" s="543"/>
      <c r="M498" s="544"/>
      <c r="N498" s="543"/>
      <c r="O498" s="544"/>
      <c r="P498" s="544"/>
      <c r="Q498" s="544"/>
      <c r="R498" s="544"/>
      <c r="S498" s="544"/>
    </row>
    <row r="499" ht="14.25" customHeight="1">
      <c r="A499" s="542"/>
      <c r="B499" s="543"/>
      <c r="C499" s="543"/>
      <c r="D499" s="544"/>
      <c r="E499" s="544"/>
      <c r="F499" s="544"/>
      <c r="G499" s="544"/>
      <c r="H499" s="544"/>
      <c r="I499" s="543"/>
      <c r="J499" s="543"/>
      <c r="K499" s="544"/>
      <c r="L499" s="543"/>
      <c r="M499" s="544"/>
      <c r="N499" s="543"/>
      <c r="O499" s="544"/>
      <c r="P499" s="544"/>
      <c r="Q499" s="544"/>
      <c r="R499" s="544"/>
      <c r="S499" s="544"/>
    </row>
    <row r="500" ht="14.25" customHeight="1">
      <c r="A500" s="542"/>
      <c r="B500" s="543"/>
      <c r="C500" s="543"/>
      <c r="D500" s="544"/>
      <c r="E500" s="544"/>
      <c r="F500" s="544"/>
      <c r="G500" s="544"/>
      <c r="H500" s="544"/>
      <c r="I500" s="543"/>
      <c r="J500" s="543"/>
      <c r="K500" s="544"/>
      <c r="L500" s="543"/>
      <c r="M500" s="544"/>
      <c r="N500" s="543"/>
      <c r="O500" s="544"/>
      <c r="P500" s="544"/>
      <c r="Q500" s="544"/>
      <c r="R500" s="544"/>
      <c r="S500" s="544"/>
    </row>
    <row r="501" ht="14.25" customHeight="1">
      <c r="A501" s="542"/>
      <c r="B501" s="543"/>
      <c r="C501" s="543"/>
      <c r="D501" s="544"/>
      <c r="E501" s="544"/>
      <c r="F501" s="544"/>
      <c r="G501" s="544"/>
      <c r="H501" s="544"/>
      <c r="I501" s="543"/>
      <c r="J501" s="543"/>
      <c r="K501" s="544"/>
      <c r="L501" s="543"/>
      <c r="M501" s="544"/>
      <c r="N501" s="543"/>
      <c r="O501" s="544"/>
      <c r="P501" s="544"/>
      <c r="Q501" s="544"/>
      <c r="R501" s="544"/>
      <c r="S501" s="544"/>
    </row>
    <row r="502" ht="14.25" customHeight="1">
      <c r="A502" s="542"/>
      <c r="B502" s="543"/>
      <c r="C502" s="543"/>
      <c r="D502" s="544"/>
      <c r="E502" s="544"/>
      <c r="F502" s="544"/>
      <c r="G502" s="544"/>
      <c r="H502" s="544"/>
      <c r="I502" s="543"/>
      <c r="J502" s="543"/>
      <c r="K502" s="544"/>
      <c r="L502" s="543"/>
      <c r="M502" s="544"/>
      <c r="N502" s="543"/>
      <c r="O502" s="544"/>
      <c r="P502" s="544"/>
      <c r="Q502" s="544"/>
      <c r="R502" s="544"/>
      <c r="S502" s="544"/>
    </row>
    <row r="503" ht="14.25" customHeight="1">
      <c r="A503" s="542"/>
      <c r="B503" s="543"/>
      <c r="C503" s="543"/>
      <c r="D503" s="544"/>
      <c r="E503" s="544"/>
      <c r="F503" s="544"/>
      <c r="G503" s="544"/>
      <c r="H503" s="544"/>
      <c r="I503" s="543"/>
      <c r="J503" s="543"/>
      <c r="K503" s="544"/>
      <c r="L503" s="543"/>
      <c r="M503" s="544"/>
      <c r="N503" s="543"/>
      <c r="O503" s="544"/>
      <c r="P503" s="544"/>
      <c r="Q503" s="544"/>
      <c r="R503" s="544"/>
      <c r="S503" s="544"/>
    </row>
    <row r="504" ht="14.25" customHeight="1">
      <c r="A504" s="542"/>
      <c r="B504" s="543"/>
      <c r="C504" s="543"/>
      <c r="D504" s="544"/>
      <c r="E504" s="544"/>
      <c r="F504" s="544"/>
      <c r="G504" s="544"/>
      <c r="H504" s="544"/>
      <c r="I504" s="543"/>
      <c r="J504" s="543"/>
      <c r="K504" s="544"/>
      <c r="L504" s="543"/>
      <c r="M504" s="544"/>
      <c r="N504" s="543"/>
      <c r="O504" s="544"/>
      <c r="P504" s="544"/>
      <c r="Q504" s="544"/>
      <c r="R504" s="544"/>
      <c r="S504" s="544"/>
    </row>
    <row r="505" ht="14.25" customHeight="1">
      <c r="A505" s="542"/>
      <c r="B505" s="543"/>
      <c r="C505" s="543"/>
      <c r="D505" s="544"/>
      <c r="E505" s="544"/>
      <c r="F505" s="544"/>
      <c r="G505" s="544"/>
      <c r="H505" s="544"/>
      <c r="I505" s="543"/>
      <c r="J505" s="543"/>
      <c r="K505" s="544"/>
      <c r="L505" s="543"/>
      <c r="M505" s="544"/>
      <c r="N505" s="543"/>
      <c r="O505" s="544"/>
      <c r="P505" s="544"/>
      <c r="Q505" s="544"/>
      <c r="R505" s="544"/>
      <c r="S505" s="544"/>
    </row>
    <row r="506" ht="14.25" customHeight="1">
      <c r="A506" s="542"/>
      <c r="B506" s="543"/>
      <c r="C506" s="543"/>
      <c r="D506" s="544"/>
      <c r="E506" s="544"/>
      <c r="F506" s="544"/>
      <c r="G506" s="544"/>
      <c r="H506" s="544"/>
      <c r="I506" s="543"/>
      <c r="J506" s="543"/>
      <c r="K506" s="544"/>
      <c r="L506" s="543"/>
      <c r="M506" s="544"/>
      <c r="N506" s="543"/>
      <c r="O506" s="544"/>
      <c r="P506" s="544"/>
      <c r="Q506" s="544"/>
      <c r="R506" s="544"/>
      <c r="S506" s="544"/>
    </row>
    <row r="507" ht="14.25" customHeight="1">
      <c r="A507" s="542"/>
      <c r="B507" s="543"/>
      <c r="C507" s="543"/>
      <c r="D507" s="544"/>
      <c r="E507" s="544"/>
      <c r="F507" s="544"/>
      <c r="G507" s="544"/>
      <c r="H507" s="544"/>
      <c r="I507" s="543"/>
      <c r="J507" s="543"/>
      <c r="K507" s="544"/>
      <c r="L507" s="543"/>
      <c r="M507" s="544"/>
      <c r="N507" s="543"/>
      <c r="O507" s="544"/>
      <c r="P507" s="544"/>
      <c r="Q507" s="544"/>
      <c r="R507" s="544"/>
      <c r="S507" s="544"/>
    </row>
    <row r="508" ht="14.25" customHeight="1">
      <c r="A508" s="542"/>
      <c r="B508" s="543"/>
      <c r="C508" s="543"/>
      <c r="D508" s="544"/>
      <c r="E508" s="544"/>
      <c r="F508" s="544"/>
      <c r="G508" s="544"/>
      <c r="H508" s="544"/>
      <c r="I508" s="543"/>
      <c r="J508" s="543"/>
      <c r="K508" s="544"/>
      <c r="L508" s="543"/>
      <c r="M508" s="544"/>
      <c r="N508" s="543"/>
      <c r="O508" s="544"/>
      <c r="P508" s="544"/>
      <c r="Q508" s="544"/>
      <c r="R508" s="544"/>
      <c r="S508" s="544"/>
    </row>
    <row r="509" ht="14.25" customHeight="1">
      <c r="A509" s="542"/>
      <c r="B509" s="543"/>
      <c r="C509" s="543"/>
      <c r="D509" s="544"/>
      <c r="E509" s="544"/>
      <c r="F509" s="544"/>
      <c r="G509" s="544"/>
      <c r="H509" s="544"/>
      <c r="I509" s="543"/>
      <c r="J509" s="543"/>
      <c r="K509" s="544"/>
      <c r="L509" s="543"/>
      <c r="M509" s="544"/>
      <c r="N509" s="543"/>
      <c r="O509" s="544"/>
      <c r="P509" s="544"/>
      <c r="Q509" s="544"/>
      <c r="R509" s="544"/>
      <c r="S509" s="544"/>
    </row>
    <row r="510" ht="14.25" customHeight="1">
      <c r="A510" s="542"/>
      <c r="B510" s="543"/>
      <c r="C510" s="543"/>
      <c r="D510" s="544"/>
      <c r="E510" s="544"/>
      <c r="F510" s="544"/>
      <c r="G510" s="544"/>
      <c r="H510" s="544"/>
      <c r="I510" s="543"/>
      <c r="J510" s="543"/>
      <c r="K510" s="544"/>
      <c r="L510" s="543"/>
      <c r="M510" s="544"/>
      <c r="N510" s="543"/>
      <c r="O510" s="544"/>
      <c r="P510" s="544"/>
      <c r="Q510" s="544"/>
      <c r="R510" s="544"/>
      <c r="S510" s="544"/>
    </row>
    <row r="511" ht="14.25" customHeight="1">
      <c r="A511" s="542"/>
      <c r="B511" s="543"/>
      <c r="C511" s="543"/>
      <c r="D511" s="544"/>
      <c r="E511" s="544"/>
      <c r="F511" s="544"/>
      <c r="G511" s="544"/>
      <c r="H511" s="544"/>
      <c r="I511" s="543"/>
      <c r="J511" s="543"/>
      <c r="K511" s="544"/>
      <c r="L511" s="543"/>
      <c r="M511" s="544"/>
      <c r="N511" s="543"/>
      <c r="O511" s="544"/>
      <c r="P511" s="544"/>
      <c r="Q511" s="544"/>
      <c r="R511" s="544"/>
      <c r="S511" s="544"/>
    </row>
    <row r="512" ht="14.25" customHeight="1">
      <c r="A512" s="542"/>
      <c r="B512" s="543"/>
      <c r="C512" s="543"/>
      <c r="D512" s="544"/>
      <c r="E512" s="544"/>
      <c r="F512" s="544"/>
      <c r="G512" s="544"/>
      <c r="H512" s="544"/>
      <c r="I512" s="543"/>
      <c r="J512" s="543"/>
      <c r="K512" s="544"/>
      <c r="L512" s="543"/>
      <c r="M512" s="544"/>
      <c r="N512" s="543"/>
      <c r="O512" s="544"/>
      <c r="P512" s="544"/>
      <c r="Q512" s="544"/>
      <c r="R512" s="544"/>
      <c r="S512" s="544"/>
    </row>
    <row r="513" ht="14.25" customHeight="1">
      <c r="A513" s="542"/>
      <c r="B513" s="543"/>
      <c r="C513" s="543"/>
      <c r="D513" s="544"/>
      <c r="E513" s="544"/>
      <c r="F513" s="544"/>
      <c r="G513" s="544"/>
      <c r="H513" s="544"/>
      <c r="I513" s="543"/>
      <c r="J513" s="543"/>
      <c r="K513" s="544"/>
      <c r="L513" s="543"/>
      <c r="M513" s="544"/>
      <c r="N513" s="543"/>
      <c r="O513" s="544"/>
      <c r="P513" s="544"/>
      <c r="Q513" s="544"/>
      <c r="R513" s="544"/>
      <c r="S513" s="544"/>
    </row>
    <row r="514" ht="14.25" customHeight="1">
      <c r="A514" s="542"/>
      <c r="B514" s="543"/>
      <c r="C514" s="543"/>
      <c r="D514" s="544"/>
      <c r="E514" s="544"/>
      <c r="F514" s="544"/>
      <c r="G514" s="544"/>
      <c r="H514" s="544"/>
      <c r="I514" s="543"/>
      <c r="J514" s="543"/>
      <c r="K514" s="544"/>
      <c r="L514" s="543"/>
      <c r="M514" s="544"/>
      <c r="N514" s="543"/>
      <c r="O514" s="544"/>
      <c r="P514" s="544"/>
      <c r="Q514" s="544"/>
      <c r="R514" s="544"/>
      <c r="S514" s="544"/>
    </row>
    <row r="515" ht="14.25" customHeight="1">
      <c r="A515" s="542"/>
      <c r="B515" s="543"/>
      <c r="C515" s="543"/>
      <c r="D515" s="544"/>
      <c r="E515" s="544"/>
      <c r="F515" s="544"/>
      <c r="G515" s="544"/>
      <c r="H515" s="544"/>
      <c r="I515" s="543"/>
      <c r="J515" s="543"/>
      <c r="K515" s="544"/>
      <c r="L515" s="543"/>
      <c r="M515" s="544"/>
      <c r="N515" s="543"/>
      <c r="O515" s="544"/>
      <c r="P515" s="544"/>
      <c r="Q515" s="544"/>
      <c r="R515" s="544"/>
      <c r="S515" s="544"/>
    </row>
    <row r="516" ht="14.25" customHeight="1">
      <c r="A516" s="542"/>
      <c r="B516" s="543"/>
      <c r="C516" s="543"/>
      <c r="D516" s="544"/>
      <c r="E516" s="544"/>
      <c r="F516" s="544"/>
      <c r="G516" s="544"/>
      <c r="H516" s="544"/>
      <c r="I516" s="543"/>
      <c r="J516" s="543"/>
      <c r="K516" s="544"/>
      <c r="L516" s="543"/>
      <c r="M516" s="544"/>
      <c r="N516" s="543"/>
      <c r="O516" s="544"/>
      <c r="P516" s="544"/>
      <c r="Q516" s="544"/>
      <c r="R516" s="544"/>
      <c r="S516" s="544"/>
    </row>
    <row r="517" ht="14.25" customHeight="1">
      <c r="A517" s="542"/>
      <c r="B517" s="543"/>
      <c r="C517" s="543"/>
      <c r="D517" s="544"/>
      <c r="E517" s="544"/>
      <c r="F517" s="544"/>
      <c r="G517" s="544"/>
      <c r="H517" s="544"/>
      <c r="I517" s="543"/>
      <c r="J517" s="543"/>
      <c r="K517" s="544"/>
      <c r="L517" s="543"/>
      <c r="M517" s="544"/>
      <c r="N517" s="543"/>
      <c r="O517" s="544"/>
      <c r="P517" s="544"/>
      <c r="Q517" s="544"/>
      <c r="R517" s="544"/>
      <c r="S517" s="544"/>
    </row>
    <row r="518" ht="14.25" customHeight="1">
      <c r="A518" s="542"/>
      <c r="B518" s="543"/>
      <c r="C518" s="543"/>
      <c r="D518" s="544"/>
      <c r="E518" s="544"/>
      <c r="F518" s="544"/>
      <c r="G518" s="544"/>
      <c r="H518" s="544"/>
      <c r="I518" s="543"/>
      <c r="J518" s="543"/>
      <c r="K518" s="544"/>
      <c r="L518" s="543"/>
      <c r="M518" s="544"/>
      <c r="N518" s="543"/>
      <c r="O518" s="544"/>
      <c r="P518" s="544"/>
      <c r="Q518" s="544"/>
      <c r="R518" s="544"/>
      <c r="S518" s="544"/>
    </row>
    <row r="519" ht="14.25" customHeight="1">
      <c r="A519" s="542"/>
      <c r="B519" s="543"/>
      <c r="C519" s="543"/>
      <c r="D519" s="544"/>
      <c r="E519" s="544"/>
      <c r="F519" s="544"/>
      <c r="G519" s="544"/>
      <c r="H519" s="544"/>
      <c r="I519" s="543"/>
      <c r="J519" s="543"/>
      <c r="K519" s="544"/>
      <c r="L519" s="543"/>
      <c r="M519" s="544"/>
      <c r="N519" s="543"/>
      <c r="O519" s="544"/>
      <c r="P519" s="544"/>
      <c r="Q519" s="544"/>
      <c r="R519" s="544"/>
      <c r="S519" s="544"/>
    </row>
    <row r="520" ht="14.25" customHeight="1">
      <c r="A520" s="542"/>
      <c r="B520" s="543"/>
      <c r="C520" s="543"/>
      <c r="D520" s="544"/>
      <c r="E520" s="544"/>
      <c r="F520" s="544"/>
      <c r="G520" s="544"/>
      <c r="H520" s="544"/>
      <c r="I520" s="543"/>
      <c r="J520" s="543"/>
      <c r="K520" s="544"/>
      <c r="L520" s="543"/>
      <c r="M520" s="544"/>
      <c r="N520" s="543"/>
      <c r="O520" s="544"/>
      <c r="P520" s="544"/>
      <c r="Q520" s="544"/>
      <c r="R520" s="544"/>
      <c r="S520" s="544"/>
    </row>
    <row r="521" ht="14.25" customHeight="1">
      <c r="A521" s="542"/>
      <c r="B521" s="543"/>
      <c r="C521" s="543"/>
      <c r="D521" s="544"/>
      <c r="E521" s="544"/>
      <c r="F521" s="544"/>
      <c r="G521" s="544"/>
      <c r="H521" s="544"/>
      <c r="I521" s="543"/>
      <c r="J521" s="543"/>
      <c r="K521" s="544"/>
      <c r="L521" s="543"/>
      <c r="M521" s="544"/>
      <c r="N521" s="543"/>
      <c r="O521" s="544"/>
      <c r="P521" s="544"/>
      <c r="Q521" s="544"/>
      <c r="R521" s="544"/>
      <c r="S521" s="544"/>
    </row>
    <row r="522" ht="14.25" customHeight="1">
      <c r="A522" s="542"/>
      <c r="B522" s="543"/>
      <c r="C522" s="543"/>
      <c r="D522" s="544"/>
      <c r="E522" s="544"/>
      <c r="F522" s="544"/>
      <c r="G522" s="544"/>
      <c r="H522" s="544"/>
      <c r="I522" s="543"/>
      <c r="J522" s="543"/>
      <c r="K522" s="544"/>
      <c r="L522" s="543"/>
      <c r="M522" s="544"/>
      <c r="N522" s="543"/>
      <c r="O522" s="544"/>
      <c r="P522" s="544"/>
      <c r="Q522" s="544"/>
      <c r="R522" s="544"/>
      <c r="S522" s="544"/>
    </row>
    <row r="523" ht="14.25" customHeight="1">
      <c r="A523" s="542"/>
      <c r="B523" s="543"/>
      <c r="C523" s="543"/>
      <c r="D523" s="544"/>
      <c r="E523" s="544"/>
      <c r="F523" s="544"/>
      <c r="G523" s="544"/>
      <c r="H523" s="544"/>
      <c r="I523" s="543"/>
      <c r="J523" s="543"/>
      <c r="K523" s="544"/>
      <c r="L523" s="543"/>
      <c r="M523" s="544"/>
      <c r="N523" s="543"/>
      <c r="O523" s="544"/>
      <c r="P523" s="544"/>
      <c r="Q523" s="544"/>
      <c r="R523" s="544"/>
      <c r="S523" s="544"/>
    </row>
    <row r="524" ht="14.25" customHeight="1">
      <c r="A524" s="542"/>
      <c r="B524" s="543"/>
      <c r="C524" s="543"/>
      <c r="D524" s="544"/>
      <c r="E524" s="544"/>
      <c r="F524" s="544"/>
      <c r="G524" s="544"/>
      <c r="H524" s="544"/>
      <c r="I524" s="543"/>
      <c r="J524" s="543"/>
      <c r="K524" s="544"/>
      <c r="L524" s="543"/>
      <c r="M524" s="544"/>
      <c r="N524" s="543"/>
      <c r="O524" s="544"/>
      <c r="P524" s="544"/>
      <c r="Q524" s="544"/>
      <c r="R524" s="544"/>
      <c r="S524" s="544"/>
    </row>
    <row r="525" ht="14.25" customHeight="1">
      <c r="A525" s="542"/>
      <c r="B525" s="543"/>
      <c r="C525" s="543"/>
      <c r="D525" s="544"/>
      <c r="E525" s="544"/>
      <c r="F525" s="544"/>
      <c r="G525" s="544"/>
      <c r="H525" s="544"/>
      <c r="I525" s="543"/>
      <c r="J525" s="543"/>
      <c r="K525" s="544"/>
      <c r="L525" s="543"/>
      <c r="M525" s="544"/>
      <c r="N525" s="543"/>
      <c r="O525" s="544"/>
      <c r="P525" s="544"/>
      <c r="Q525" s="544"/>
      <c r="R525" s="544"/>
      <c r="S525" s="544"/>
    </row>
    <row r="526" ht="14.25" customHeight="1">
      <c r="A526" s="542"/>
      <c r="B526" s="543"/>
      <c r="C526" s="543"/>
      <c r="D526" s="544"/>
      <c r="E526" s="544"/>
      <c r="F526" s="544"/>
      <c r="G526" s="544"/>
      <c r="H526" s="544"/>
      <c r="I526" s="543"/>
      <c r="J526" s="543"/>
      <c r="K526" s="544"/>
      <c r="L526" s="543"/>
      <c r="M526" s="544"/>
      <c r="N526" s="543"/>
      <c r="O526" s="544"/>
      <c r="P526" s="544"/>
      <c r="Q526" s="544"/>
      <c r="R526" s="544"/>
      <c r="S526" s="544"/>
    </row>
    <row r="527" ht="14.25" customHeight="1">
      <c r="A527" s="542"/>
      <c r="B527" s="543"/>
      <c r="C527" s="543"/>
      <c r="D527" s="544"/>
      <c r="E527" s="544"/>
      <c r="F527" s="544"/>
      <c r="G527" s="544"/>
      <c r="H527" s="544"/>
      <c r="I527" s="543"/>
      <c r="J527" s="543"/>
      <c r="K527" s="544"/>
      <c r="L527" s="543"/>
      <c r="M527" s="544"/>
      <c r="N527" s="543"/>
      <c r="O527" s="544"/>
      <c r="P527" s="544"/>
      <c r="Q527" s="544"/>
      <c r="R527" s="544"/>
      <c r="S527" s="544"/>
    </row>
    <row r="528" ht="14.25" customHeight="1">
      <c r="A528" s="542"/>
      <c r="B528" s="543"/>
      <c r="C528" s="543"/>
      <c r="D528" s="544"/>
      <c r="E528" s="544"/>
      <c r="F528" s="544"/>
      <c r="G528" s="544"/>
      <c r="H528" s="544"/>
      <c r="I528" s="543"/>
      <c r="J528" s="543"/>
      <c r="K528" s="544"/>
      <c r="L528" s="543"/>
      <c r="M528" s="544"/>
      <c r="N528" s="543"/>
      <c r="O528" s="544"/>
      <c r="P528" s="544"/>
      <c r="Q528" s="544"/>
      <c r="R528" s="544"/>
      <c r="S528" s="544"/>
    </row>
    <row r="529" ht="14.25" customHeight="1">
      <c r="A529" s="542"/>
      <c r="B529" s="543"/>
      <c r="C529" s="543"/>
      <c r="D529" s="544"/>
      <c r="E529" s="544"/>
      <c r="F529" s="544"/>
      <c r="G529" s="544"/>
      <c r="H529" s="544"/>
      <c r="I529" s="543"/>
      <c r="J529" s="543"/>
      <c r="K529" s="544"/>
      <c r="L529" s="543"/>
      <c r="M529" s="544"/>
      <c r="N529" s="543"/>
      <c r="O529" s="544"/>
      <c r="P529" s="544"/>
      <c r="Q529" s="544"/>
      <c r="R529" s="544"/>
      <c r="S529" s="544"/>
    </row>
    <row r="530" ht="14.25" customHeight="1">
      <c r="A530" s="542"/>
      <c r="B530" s="543"/>
      <c r="C530" s="543"/>
      <c r="D530" s="544"/>
      <c r="E530" s="544"/>
      <c r="F530" s="544"/>
      <c r="G530" s="544"/>
      <c r="H530" s="544"/>
      <c r="I530" s="543"/>
      <c r="J530" s="543"/>
      <c r="K530" s="544"/>
      <c r="L530" s="543"/>
      <c r="M530" s="544"/>
      <c r="N530" s="543"/>
      <c r="O530" s="544"/>
      <c r="P530" s="544"/>
      <c r="Q530" s="544"/>
      <c r="R530" s="544"/>
      <c r="S530" s="544"/>
    </row>
    <row r="531" ht="14.25" customHeight="1">
      <c r="A531" s="542"/>
      <c r="B531" s="543"/>
      <c r="C531" s="543"/>
      <c r="D531" s="544"/>
      <c r="E531" s="544"/>
      <c r="F531" s="544"/>
      <c r="G531" s="544"/>
      <c r="H531" s="544"/>
      <c r="I531" s="543"/>
      <c r="J531" s="543"/>
      <c r="K531" s="544"/>
      <c r="L531" s="543"/>
      <c r="M531" s="544"/>
      <c r="N531" s="543"/>
      <c r="O531" s="544"/>
      <c r="P531" s="544"/>
      <c r="Q531" s="544"/>
      <c r="R531" s="544"/>
      <c r="S531" s="544"/>
    </row>
    <row r="532" ht="14.25" customHeight="1">
      <c r="A532" s="542"/>
      <c r="B532" s="543"/>
      <c r="C532" s="543"/>
      <c r="D532" s="544"/>
      <c r="E532" s="544"/>
      <c r="F532" s="544"/>
      <c r="G532" s="544"/>
      <c r="H532" s="544"/>
      <c r="I532" s="543"/>
      <c r="J532" s="543"/>
      <c r="K532" s="544"/>
      <c r="L532" s="543"/>
      <c r="M532" s="544"/>
      <c r="N532" s="543"/>
      <c r="O532" s="544"/>
      <c r="P532" s="544"/>
      <c r="Q532" s="544"/>
      <c r="R532" s="544"/>
      <c r="S532" s="544"/>
    </row>
    <row r="533" ht="14.25" customHeight="1">
      <c r="A533" s="542"/>
      <c r="B533" s="543"/>
      <c r="C533" s="543"/>
      <c r="D533" s="544"/>
      <c r="E533" s="544"/>
      <c r="F533" s="544"/>
      <c r="G533" s="544"/>
      <c r="H533" s="544"/>
      <c r="I533" s="543"/>
      <c r="J533" s="543"/>
      <c r="K533" s="544"/>
      <c r="L533" s="543"/>
      <c r="M533" s="544"/>
      <c r="N533" s="543"/>
      <c r="O533" s="544"/>
      <c r="P533" s="544"/>
      <c r="Q533" s="544"/>
      <c r="R533" s="544"/>
      <c r="S533" s="544"/>
    </row>
    <row r="534" ht="14.25" customHeight="1">
      <c r="A534" s="542"/>
      <c r="B534" s="543"/>
      <c r="C534" s="543"/>
      <c r="D534" s="544"/>
      <c r="E534" s="544"/>
      <c r="F534" s="544"/>
      <c r="G534" s="544"/>
      <c r="H534" s="544"/>
      <c r="I534" s="543"/>
      <c r="J534" s="543"/>
      <c r="K534" s="544"/>
      <c r="L534" s="543"/>
      <c r="M534" s="544"/>
      <c r="N534" s="543"/>
      <c r="O534" s="544"/>
      <c r="P534" s="544"/>
      <c r="Q534" s="544"/>
      <c r="R534" s="544"/>
      <c r="S534" s="544"/>
    </row>
    <row r="535" ht="14.25" customHeight="1">
      <c r="A535" s="542"/>
      <c r="B535" s="543"/>
      <c r="C535" s="543"/>
      <c r="D535" s="544"/>
      <c r="E535" s="544"/>
      <c r="F535" s="544"/>
      <c r="G535" s="544"/>
      <c r="H535" s="544"/>
      <c r="I535" s="543"/>
      <c r="J535" s="543"/>
      <c r="K535" s="544"/>
      <c r="L535" s="543"/>
      <c r="M535" s="544"/>
      <c r="N535" s="543"/>
      <c r="O535" s="544"/>
      <c r="P535" s="544"/>
      <c r="Q535" s="544"/>
      <c r="R535" s="544"/>
      <c r="S535" s="544"/>
    </row>
    <row r="536" ht="14.25" customHeight="1">
      <c r="A536" s="542"/>
      <c r="B536" s="543"/>
      <c r="C536" s="543"/>
      <c r="D536" s="544"/>
      <c r="E536" s="544"/>
      <c r="F536" s="544"/>
      <c r="G536" s="544"/>
      <c r="H536" s="544"/>
      <c r="I536" s="543"/>
      <c r="J536" s="543"/>
      <c r="K536" s="544"/>
      <c r="L536" s="543"/>
      <c r="M536" s="544"/>
      <c r="N536" s="543"/>
      <c r="O536" s="544"/>
      <c r="P536" s="544"/>
      <c r="Q536" s="544"/>
      <c r="R536" s="544"/>
      <c r="S536" s="544"/>
    </row>
    <row r="537" ht="14.25" customHeight="1">
      <c r="A537" s="542"/>
      <c r="B537" s="543"/>
      <c r="C537" s="543"/>
      <c r="D537" s="544"/>
      <c r="E537" s="544"/>
      <c r="F537" s="544"/>
      <c r="G537" s="544"/>
      <c r="H537" s="544"/>
      <c r="I537" s="543"/>
      <c r="J537" s="543"/>
      <c r="K537" s="544"/>
      <c r="L537" s="543"/>
      <c r="M537" s="544"/>
      <c r="N537" s="543"/>
      <c r="O537" s="544"/>
      <c r="P537" s="544"/>
      <c r="Q537" s="544"/>
      <c r="R537" s="544"/>
      <c r="S537" s="544"/>
    </row>
    <row r="538" ht="14.25" customHeight="1">
      <c r="A538" s="542"/>
      <c r="B538" s="543"/>
      <c r="C538" s="543"/>
      <c r="D538" s="544"/>
      <c r="E538" s="544"/>
      <c r="F538" s="544"/>
      <c r="G538" s="544"/>
      <c r="H538" s="544"/>
      <c r="I538" s="543"/>
      <c r="J538" s="543"/>
      <c r="K538" s="544"/>
      <c r="L538" s="543"/>
      <c r="M538" s="544"/>
      <c r="N538" s="543"/>
      <c r="O538" s="544"/>
      <c r="P538" s="544"/>
      <c r="Q538" s="544"/>
      <c r="R538" s="544"/>
      <c r="S538" s="544"/>
    </row>
    <row r="539" ht="14.25" customHeight="1">
      <c r="A539" s="542"/>
      <c r="B539" s="543"/>
      <c r="C539" s="543"/>
      <c r="D539" s="544"/>
      <c r="E539" s="544"/>
      <c r="F539" s="544"/>
      <c r="G539" s="544"/>
      <c r="H539" s="544"/>
      <c r="I539" s="543"/>
      <c r="J539" s="543"/>
      <c r="K539" s="544"/>
      <c r="L539" s="543"/>
      <c r="M539" s="544"/>
      <c r="N539" s="543"/>
      <c r="O539" s="544"/>
      <c r="P539" s="544"/>
      <c r="Q539" s="544"/>
      <c r="R539" s="544"/>
      <c r="S539" s="544"/>
    </row>
    <row r="540" ht="14.25" customHeight="1">
      <c r="A540" s="542"/>
      <c r="B540" s="543"/>
      <c r="C540" s="543"/>
      <c r="D540" s="544"/>
      <c r="E540" s="544"/>
      <c r="F540" s="544"/>
      <c r="G540" s="544"/>
      <c r="H540" s="544"/>
      <c r="I540" s="543"/>
      <c r="J540" s="543"/>
      <c r="K540" s="544"/>
      <c r="L540" s="543"/>
      <c r="M540" s="544"/>
      <c r="N540" s="543"/>
      <c r="O540" s="544"/>
      <c r="P540" s="544"/>
      <c r="Q540" s="544"/>
      <c r="R540" s="544"/>
      <c r="S540" s="544"/>
    </row>
    <row r="541" ht="14.25" customHeight="1">
      <c r="A541" s="542"/>
      <c r="B541" s="543"/>
      <c r="C541" s="543"/>
      <c r="D541" s="544"/>
      <c r="E541" s="544"/>
      <c r="F541" s="544"/>
      <c r="G541" s="544"/>
      <c r="H541" s="544"/>
      <c r="I541" s="543"/>
      <c r="J541" s="543"/>
      <c r="K541" s="544"/>
      <c r="L541" s="543"/>
      <c r="M541" s="544"/>
      <c r="N541" s="543"/>
      <c r="O541" s="544"/>
      <c r="P541" s="544"/>
      <c r="Q541" s="544"/>
      <c r="R541" s="544"/>
      <c r="S541" s="544"/>
    </row>
    <row r="542" ht="14.25" customHeight="1">
      <c r="A542" s="542"/>
      <c r="B542" s="543"/>
      <c r="C542" s="543"/>
      <c r="D542" s="544"/>
      <c r="E542" s="544"/>
      <c r="F542" s="544"/>
      <c r="G542" s="544"/>
      <c r="H542" s="544"/>
      <c r="I542" s="543"/>
      <c r="J542" s="543"/>
      <c r="K542" s="544"/>
      <c r="L542" s="543"/>
      <c r="M542" s="544"/>
      <c r="N542" s="543"/>
      <c r="O542" s="544"/>
      <c r="P542" s="544"/>
      <c r="Q542" s="544"/>
      <c r="R542" s="544"/>
      <c r="S542" s="544"/>
    </row>
    <row r="543" ht="14.25" customHeight="1">
      <c r="A543" s="542"/>
      <c r="B543" s="543"/>
      <c r="C543" s="543"/>
      <c r="D543" s="544"/>
      <c r="E543" s="544"/>
      <c r="F543" s="544"/>
      <c r="G543" s="544"/>
      <c r="H543" s="544"/>
      <c r="I543" s="543"/>
      <c r="J543" s="543"/>
      <c r="K543" s="544"/>
      <c r="L543" s="543"/>
      <c r="M543" s="544"/>
      <c r="N543" s="543"/>
      <c r="O543" s="544"/>
      <c r="P543" s="544"/>
      <c r="Q543" s="544"/>
      <c r="R543" s="544"/>
      <c r="S543" s="544"/>
    </row>
    <row r="544" ht="14.25" customHeight="1">
      <c r="A544" s="542"/>
      <c r="B544" s="543"/>
      <c r="C544" s="543"/>
      <c r="D544" s="544"/>
      <c r="E544" s="544"/>
      <c r="F544" s="544"/>
      <c r="G544" s="544"/>
      <c r="H544" s="544"/>
      <c r="I544" s="543"/>
      <c r="J544" s="543"/>
      <c r="K544" s="544"/>
      <c r="L544" s="543"/>
      <c r="M544" s="544"/>
      <c r="N544" s="543"/>
      <c r="O544" s="544"/>
      <c r="P544" s="544"/>
      <c r="Q544" s="544"/>
      <c r="R544" s="544"/>
      <c r="S544" s="544"/>
    </row>
    <row r="545" ht="14.25" customHeight="1">
      <c r="A545" s="542"/>
      <c r="B545" s="543"/>
      <c r="C545" s="543"/>
      <c r="D545" s="544"/>
      <c r="E545" s="544"/>
      <c r="F545" s="544"/>
      <c r="G545" s="544"/>
      <c r="H545" s="544"/>
      <c r="I545" s="543"/>
      <c r="J545" s="543"/>
      <c r="K545" s="544"/>
      <c r="L545" s="543"/>
      <c r="M545" s="544"/>
      <c r="N545" s="543"/>
      <c r="O545" s="544"/>
      <c r="P545" s="544"/>
      <c r="Q545" s="544"/>
      <c r="R545" s="544"/>
      <c r="S545" s="544"/>
    </row>
    <row r="546" ht="14.25" customHeight="1">
      <c r="A546" s="542"/>
      <c r="B546" s="543"/>
      <c r="C546" s="543"/>
      <c r="D546" s="544"/>
      <c r="E546" s="544"/>
      <c r="F546" s="544"/>
      <c r="G546" s="544"/>
      <c r="H546" s="544"/>
      <c r="I546" s="543"/>
      <c r="J546" s="543"/>
      <c r="K546" s="544"/>
      <c r="L546" s="543"/>
      <c r="M546" s="544"/>
      <c r="N546" s="543"/>
      <c r="O546" s="544"/>
      <c r="P546" s="544"/>
      <c r="Q546" s="544"/>
      <c r="R546" s="544"/>
      <c r="S546" s="544"/>
    </row>
    <row r="547" ht="14.25" customHeight="1">
      <c r="A547" s="542"/>
      <c r="B547" s="543"/>
      <c r="C547" s="543"/>
      <c r="D547" s="544"/>
      <c r="E547" s="544"/>
      <c r="F547" s="544"/>
      <c r="G547" s="544"/>
      <c r="H547" s="544"/>
      <c r="I547" s="543"/>
      <c r="J547" s="543"/>
      <c r="K547" s="544"/>
      <c r="L547" s="543"/>
      <c r="M547" s="544"/>
      <c r="N547" s="543"/>
      <c r="O547" s="544"/>
      <c r="P547" s="544"/>
      <c r="Q547" s="544"/>
      <c r="R547" s="544"/>
      <c r="S547" s="544"/>
    </row>
    <row r="548" ht="14.25" customHeight="1">
      <c r="A548" s="542"/>
      <c r="B548" s="543"/>
      <c r="C548" s="543"/>
      <c r="D548" s="544"/>
      <c r="E548" s="544"/>
      <c r="F548" s="544"/>
      <c r="G548" s="544"/>
      <c r="H548" s="544"/>
      <c r="I548" s="543"/>
      <c r="J548" s="543"/>
      <c r="K548" s="544"/>
      <c r="L548" s="543"/>
      <c r="M548" s="544"/>
      <c r="N548" s="543"/>
      <c r="O548" s="544"/>
      <c r="P548" s="544"/>
      <c r="Q548" s="544"/>
      <c r="R548" s="544"/>
      <c r="S548" s="544"/>
    </row>
    <row r="549" ht="14.25" customHeight="1">
      <c r="A549" s="542"/>
      <c r="B549" s="543"/>
      <c r="C549" s="543"/>
      <c r="D549" s="544"/>
      <c r="E549" s="544"/>
      <c r="F549" s="544"/>
      <c r="G549" s="544"/>
      <c r="H549" s="544"/>
      <c r="I549" s="543"/>
      <c r="J549" s="543"/>
      <c r="K549" s="544"/>
      <c r="L549" s="543"/>
      <c r="M549" s="544"/>
      <c r="N549" s="543"/>
      <c r="O549" s="544"/>
      <c r="P549" s="544"/>
      <c r="Q549" s="544"/>
      <c r="R549" s="544"/>
      <c r="S549" s="544"/>
    </row>
    <row r="550" ht="14.25" customHeight="1">
      <c r="A550" s="542"/>
      <c r="B550" s="543"/>
      <c r="C550" s="543"/>
      <c r="D550" s="544"/>
      <c r="E550" s="544"/>
      <c r="F550" s="544"/>
      <c r="G550" s="544"/>
      <c r="H550" s="544"/>
      <c r="I550" s="543"/>
      <c r="J550" s="543"/>
      <c r="K550" s="544"/>
      <c r="L550" s="543"/>
      <c r="M550" s="544"/>
      <c r="N550" s="543"/>
      <c r="O550" s="544"/>
      <c r="P550" s="544"/>
      <c r="Q550" s="544"/>
      <c r="R550" s="544"/>
      <c r="S550" s="544"/>
    </row>
    <row r="551" ht="14.25" customHeight="1">
      <c r="A551" s="542"/>
      <c r="B551" s="543"/>
      <c r="C551" s="543"/>
      <c r="D551" s="544"/>
      <c r="E551" s="544"/>
      <c r="F551" s="544"/>
      <c r="G551" s="544"/>
      <c r="H551" s="544"/>
      <c r="I551" s="543"/>
      <c r="J551" s="543"/>
      <c r="K551" s="544"/>
      <c r="L551" s="543"/>
      <c r="M551" s="544"/>
      <c r="N551" s="543"/>
      <c r="O551" s="544"/>
      <c r="P551" s="544"/>
      <c r="Q551" s="544"/>
      <c r="R551" s="544"/>
      <c r="S551" s="544"/>
    </row>
    <row r="552" ht="14.25" customHeight="1">
      <c r="A552" s="542"/>
      <c r="B552" s="543"/>
      <c r="C552" s="543"/>
      <c r="D552" s="544"/>
      <c r="E552" s="544"/>
      <c r="F552" s="544"/>
      <c r="G552" s="544"/>
      <c r="H552" s="544"/>
      <c r="I552" s="543"/>
      <c r="J552" s="543"/>
      <c r="K552" s="544"/>
      <c r="L552" s="543"/>
      <c r="M552" s="544"/>
      <c r="N552" s="543"/>
      <c r="O552" s="544"/>
      <c r="P552" s="544"/>
      <c r="Q552" s="544"/>
      <c r="R552" s="544"/>
      <c r="S552" s="544"/>
    </row>
    <row r="553" ht="14.25" customHeight="1">
      <c r="A553" s="542"/>
      <c r="B553" s="543"/>
      <c r="C553" s="543"/>
      <c r="D553" s="544"/>
      <c r="E553" s="544"/>
      <c r="F553" s="544"/>
      <c r="G553" s="544"/>
      <c r="H553" s="544"/>
      <c r="I553" s="543"/>
      <c r="J553" s="543"/>
      <c r="K553" s="544"/>
      <c r="L553" s="543"/>
      <c r="M553" s="544"/>
      <c r="N553" s="543"/>
      <c r="O553" s="544"/>
      <c r="P553" s="544"/>
      <c r="Q553" s="544"/>
      <c r="R553" s="544"/>
      <c r="S553" s="544"/>
    </row>
    <row r="554" ht="14.25" customHeight="1">
      <c r="A554" s="542"/>
      <c r="B554" s="543"/>
      <c r="C554" s="543"/>
      <c r="D554" s="544"/>
      <c r="E554" s="544"/>
      <c r="F554" s="544"/>
      <c r="G554" s="544"/>
      <c r="H554" s="544"/>
      <c r="I554" s="543"/>
      <c r="J554" s="543"/>
      <c r="K554" s="544"/>
      <c r="L554" s="543"/>
      <c r="M554" s="544"/>
      <c r="N554" s="543"/>
      <c r="O554" s="544"/>
      <c r="P554" s="544"/>
      <c r="Q554" s="544"/>
      <c r="R554" s="544"/>
      <c r="S554" s="544"/>
    </row>
    <row r="555" ht="14.25" customHeight="1">
      <c r="A555" s="542"/>
      <c r="B555" s="543"/>
      <c r="C555" s="543"/>
      <c r="D555" s="544"/>
      <c r="E555" s="544"/>
      <c r="F555" s="544"/>
      <c r="G555" s="544"/>
      <c r="H555" s="544"/>
      <c r="I555" s="543"/>
      <c r="J555" s="543"/>
      <c r="K555" s="544"/>
      <c r="L555" s="543"/>
      <c r="M555" s="544"/>
      <c r="N555" s="543"/>
      <c r="O555" s="544"/>
      <c r="P555" s="544"/>
      <c r="Q555" s="544"/>
      <c r="R555" s="544"/>
      <c r="S555" s="544"/>
    </row>
    <row r="556" ht="14.25" customHeight="1">
      <c r="A556" s="542"/>
      <c r="B556" s="543"/>
      <c r="C556" s="543"/>
      <c r="D556" s="544"/>
      <c r="E556" s="544"/>
      <c r="F556" s="544"/>
      <c r="G556" s="544"/>
      <c r="H556" s="544"/>
      <c r="I556" s="543"/>
      <c r="J556" s="543"/>
      <c r="K556" s="544"/>
      <c r="L556" s="543"/>
      <c r="M556" s="544"/>
      <c r="N556" s="543"/>
      <c r="O556" s="544"/>
      <c r="P556" s="544"/>
      <c r="Q556" s="544"/>
      <c r="R556" s="544"/>
      <c r="S556" s="544"/>
    </row>
    <row r="557" ht="14.25" customHeight="1">
      <c r="A557" s="542"/>
      <c r="B557" s="543"/>
      <c r="C557" s="543"/>
      <c r="D557" s="544"/>
      <c r="E557" s="544"/>
      <c r="F557" s="544"/>
      <c r="G557" s="544"/>
      <c r="H557" s="544"/>
      <c r="I557" s="543"/>
      <c r="J557" s="543"/>
      <c r="K557" s="544"/>
      <c r="L557" s="543"/>
      <c r="M557" s="544"/>
      <c r="N557" s="543"/>
      <c r="O557" s="544"/>
      <c r="P557" s="544"/>
      <c r="Q557" s="544"/>
      <c r="R557" s="544"/>
      <c r="S557" s="544"/>
    </row>
    <row r="558" ht="14.25" customHeight="1">
      <c r="A558" s="542"/>
      <c r="B558" s="543"/>
      <c r="C558" s="543"/>
      <c r="D558" s="544"/>
      <c r="E558" s="544"/>
      <c r="F558" s="544"/>
      <c r="G558" s="544"/>
      <c r="H558" s="544"/>
      <c r="I558" s="543"/>
      <c r="J558" s="543"/>
      <c r="K558" s="544"/>
      <c r="L558" s="543"/>
      <c r="M558" s="544"/>
      <c r="N558" s="543"/>
      <c r="O558" s="544"/>
      <c r="P558" s="544"/>
      <c r="Q558" s="544"/>
      <c r="R558" s="544"/>
      <c r="S558" s="544"/>
    </row>
    <row r="559" ht="14.25" customHeight="1">
      <c r="A559" s="542"/>
      <c r="B559" s="543"/>
      <c r="C559" s="543"/>
      <c r="D559" s="544"/>
      <c r="E559" s="544"/>
      <c r="F559" s="544"/>
      <c r="G559" s="544"/>
      <c r="H559" s="544"/>
      <c r="I559" s="543"/>
      <c r="J559" s="543"/>
      <c r="K559" s="544"/>
      <c r="L559" s="543"/>
      <c r="M559" s="544"/>
      <c r="N559" s="543"/>
      <c r="O559" s="544"/>
      <c r="P559" s="544"/>
      <c r="Q559" s="544"/>
      <c r="R559" s="544"/>
      <c r="S559" s="544"/>
    </row>
    <row r="560" ht="14.25" customHeight="1">
      <c r="A560" s="542"/>
      <c r="B560" s="543"/>
      <c r="C560" s="543"/>
      <c r="D560" s="544"/>
      <c r="E560" s="544"/>
      <c r="F560" s="544"/>
      <c r="G560" s="544"/>
      <c r="H560" s="544"/>
      <c r="I560" s="543"/>
      <c r="J560" s="543"/>
      <c r="K560" s="544"/>
      <c r="L560" s="543"/>
      <c r="M560" s="544"/>
      <c r="N560" s="543"/>
      <c r="O560" s="544"/>
      <c r="P560" s="544"/>
      <c r="Q560" s="544"/>
      <c r="R560" s="544"/>
      <c r="S560" s="544"/>
    </row>
    <row r="561" ht="14.25" customHeight="1">
      <c r="A561" s="542"/>
      <c r="B561" s="543"/>
      <c r="C561" s="543"/>
      <c r="D561" s="544"/>
      <c r="E561" s="544"/>
      <c r="F561" s="544"/>
      <c r="G561" s="544"/>
      <c r="H561" s="544"/>
      <c r="I561" s="543"/>
      <c r="J561" s="543"/>
      <c r="K561" s="544"/>
      <c r="L561" s="543"/>
      <c r="M561" s="544"/>
      <c r="N561" s="543"/>
      <c r="O561" s="544"/>
      <c r="P561" s="544"/>
      <c r="Q561" s="544"/>
      <c r="R561" s="544"/>
      <c r="S561" s="544"/>
    </row>
    <row r="562" ht="14.25" customHeight="1">
      <c r="A562" s="542"/>
      <c r="B562" s="543"/>
      <c r="C562" s="543"/>
      <c r="D562" s="544"/>
      <c r="E562" s="544"/>
      <c r="F562" s="544"/>
      <c r="G562" s="544"/>
      <c r="H562" s="544"/>
      <c r="I562" s="543"/>
      <c r="J562" s="543"/>
      <c r="K562" s="544"/>
      <c r="L562" s="543"/>
      <c r="M562" s="544"/>
      <c r="N562" s="543"/>
      <c r="O562" s="544"/>
      <c r="P562" s="544"/>
      <c r="Q562" s="544"/>
      <c r="R562" s="544"/>
      <c r="S562" s="544"/>
    </row>
    <row r="563" ht="14.25" customHeight="1">
      <c r="A563" s="542"/>
      <c r="B563" s="543"/>
      <c r="C563" s="543"/>
      <c r="D563" s="544"/>
      <c r="E563" s="544"/>
      <c r="F563" s="544"/>
      <c r="G563" s="544"/>
      <c r="H563" s="544"/>
      <c r="I563" s="543"/>
      <c r="J563" s="543"/>
      <c r="K563" s="544"/>
      <c r="L563" s="543"/>
      <c r="M563" s="544"/>
      <c r="N563" s="543"/>
      <c r="O563" s="544"/>
      <c r="P563" s="544"/>
      <c r="Q563" s="544"/>
      <c r="R563" s="544"/>
      <c r="S563" s="544"/>
    </row>
    <row r="564" ht="14.25" customHeight="1">
      <c r="A564" s="542"/>
      <c r="B564" s="543"/>
      <c r="C564" s="543"/>
      <c r="D564" s="544"/>
      <c r="E564" s="544"/>
      <c r="F564" s="544"/>
      <c r="G564" s="544"/>
      <c r="H564" s="544"/>
      <c r="I564" s="543"/>
      <c r="J564" s="543"/>
      <c r="K564" s="544"/>
      <c r="L564" s="543"/>
      <c r="M564" s="544"/>
      <c r="N564" s="543"/>
      <c r="O564" s="544"/>
      <c r="P564" s="544"/>
      <c r="Q564" s="544"/>
      <c r="R564" s="544"/>
      <c r="S564" s="544"/>
    </row>
    <row r="565" ht="14.25" customHeight="1">
      <c r="A565" s="542"/>
      <c r="B565" s="543"/>
      <c r="C565" s="543"/>
      <c r="D565" s="544"/>
      <c r="E565" s="544"/>
      <c r="F565" s="544"/>
      <c r="G565" s="544"/>
      <c r="H565" s="544"/>
      <c r="I565" s="543"/>
      <c r="J565" s="543"/>
      <c r="K565" s="544"/>
      <c r="L565" s="543"/>
      <c r="M565" s="544"/>
      <c r="N565" s="543"/>
      <c r="O565" s="544"/>
      <c r="P565" s="544"/>
      <c r="Q565" s="544"/>
      <c r="R565" s="544"/>
      <c r="S565" s="544"/>
    </row>
    <row r="566" ht="14.25" customHeight="1">
      <c r="A566" s="542"/>
      <c r="B566" s="543"/>
      <c r="C566" s="543"/>
      <c r="D566" s="544"/>
      <c r="E566" s="544"/>
      <c r="F566" s="544"/>
      <c r="G566" s="544"/>
      <c r="H566" s="544"/>
      <c r="I566" s="543"/>
      <c r="J566" s="543"/>
      <c r="K566" s="544"/>
      <c r="L566" s="543"/>
      <c r="M566" s="544"/>
      <c r="N566" s="543"/>
      <c r="O566" s="544"/>
      <c r="P566" s="544"/>
      <c r="Q566" s="544"/>
      <c r="R566" s="544"/>
      <c r="S566" s="544"/>
    </row>
    <row r="567" ht="14.25" customHeight="1">
      <c r="A567" s="542"/>
      <c r="B567" s="543"/>
      <c r="C567" s="543"/>
      <c r="D567" s="544"/>
      <c r="E567" s="544"/>
      <c r="F567" s="544"/>
      <c r="G567" s="544"/>
      <c r="H567" s="544"/>
      <c r="I567" s="543"/>
      <c r="J567" s="543"/>
      <c r="K567" s="544"/>
      <c r="L567" s="543"/>
      <c r="M567" s="544"/>
      <c r="N567" s="543"/>
      <c r="O567" s="544"/>
      <c r="P567" s="544"/>
      <c r="Q567" s="544"/>
      <c r="R567" s="544"/>
      <c r="S567" s="544"/>
    </row>
    <row r="568" ht="14.25" customHeight="1">
      <c r="A568" s="542"/>
      <c r="B568" s="543"/>
      <c r="C568" s="543"/>
      <c r="D568" s="544"/>
      <c r="E568" s="544"/>
      <c r="F568" s="544"/>
      <c r="G568" s="544"/>
      <c r="H568" s="544"/>
      <c r="I568" s="543"/>
      <c r="J568" s="543"/>
      <c r="K568" s="544"/>
      <c r="L568" s="543"/>
      <c r="M568" s="544"/>
      <c r="N568" s="543"/>
      <c r="O568" s="544"/>
      <c r="P568" s="544"/>
      <c r="Q568" s="544"/>
      <c r="R568" s="544"/>
      <c r="S568" s="544"/>
    </row>
    <row r="569" ht="14.25" customHeight="1">
      <c r="A569" s="542"/>
      <c r="B569" s="543"/>
      <c r="C569" s="543"/>
      <c r="D569" s="544"/>
      <c r="E569" s="544"/>
      <c r="F569" s="544"/>
      <c r="G569" s="544"/>
      <c r="H569" s="544"/>
      <c r="I569" s="543"/>
      <c r="J569" s="543"/>
      <c r="K569" s="544"/>
      <c r="L569" s="543"/>
      <c r="M569" s="544"/>
      <c r="N569" s="543"/>
      <c r="O569" s="544"/>
      <c r="P569" s="544"/>
      <c r="Q569" s="544"/>
      <c r="R569" s="544"/>
      <c r="S569" s="544"/>
    </row>
    <row r="570" ht="14.25" customHeight="1">
      <c r="A570" s="542"/>
      <c r="B570" s="543"/>
      <c r="C570" s="543"/>
      <c r="D570" s="544"/>
      <c r="E570" s="544"/>
      <c r="F570" s="544"/>
      <c r="G570" s="544"/>
      <c r="H570" s="544"/>
      <c r="I570" s="543"/>
      <c r="J570" s="543"/>
      <c r="K570" s="544"/>
      <c r="L570" s="543"/>
      <c r="M570" s="544"/>
      <c r="N570" s="543"/>
      <c r="O570" s="544"/>
      <c r="P570" s="544"/>
      <c r="Q570" s="544"/>
      <c r="R570" s="544"/>
      <c r="S570" s="544"/>
    </row>
    <row r="571" ht="14.25" customHeight="1">
      <c r="A571" s="542"/>
      <c r="B571" s="543"/>
      <c r="C571" s="543"/>
      <c r="D571" s="544"/>
      <c r="E571" s="544"/>
      <c r="F571" s="544"/>
      <c r="G571" s="544"/>
      <c r="H571" s="544"/>
      <c r="I571" s="543"/>
      <c r="J571" s="543"/>
      <c r="K571" s="544"/>
      <c r="L571" s="543"/>
      <c r="M571" s="544"/>
      <c r="N571" s="543"/>
      <c r="O571" s="544"/>
      <c r="P571" s="544"/>
      <c r="Q571" s="544"/>
      <c r="R571" s="544"/>
      <c r="S571" s="544"/>
    </row>
    <row r="572" ht="14.25" customHeight="1">
      <c r="A572" s="542"/>
      <c r="B572" s="543"/>
      <c r="C572" s="543"/>
      <c r="D572" s="544"/>
      <c r="E572" s="544"/>
      <c r="F572" s="544"/>
      <c r="G572" s="544"/>
      <c r="H572" s="544"/>
      <c r="I572" s="543"/>
      <c r="J572" s="543"/>
      <c r="K572" s="544"/>
      <c r="L572" s="543"/>
      <c r="M572" s="544"/>
      <c r="N572" s="543"/>
      <c r="O572" s="544"/>
      <c r="P572" s="544"/>
      <c r="Q572" s="544"/>
      <c r="R572" s="544"/>
      <c r="S572" s="544"/>
    </row>
    <row r="573" ht="14.25" customHeight="1">
      <c r="A573" s="542"/>
      <c r="B573" s="543"/>
      <c r="C573" s="543"/>
      <c r="D573" s="544"/>
      <c r="E573" s="544"/>
      <c r="F573" s="544"/>
      <c r="G573" s="544"/>
      <c r="H573" s="544"/>
      <c r="I573" s="543"/>
      <c r="J573" s="543"/>
      <c r="K573" s="544"/>
      <c r="L573" s="543"/>
      <c r="M573" s="544"/>
      <c r="N573" s="543"/>
      <c r="O573" s="544"/>
      <c r="P573" s="544"/>
      <c r="Q573" s="544"/>
      <c r="R573" s="544"/>
      <c r="S573" s="544"/>
    </row>
    <row r="574" ht="14.25" customHeight="1">
      <c r="A574" s="542"/>
      <c r="B574" s="543"/>
      <c r="C574" s="543"/>
      <c r="D574" s="544"/>
      <c r="E574" s="544"/>
      <c r="F574" s="544"/>
      <c r="G574" s="544"/>
      <c r="H574" s="544"/>
      <c r="I574" s="543"/>
      <c r="J574" s="543"/>
      <c r="K574" s="544"/>
      <c r="L574" s="543"/>
      <c r="M574" s="544"/>
      <c r="N574" s="543"/>
      <c r="O574" s="544"/>
      <c r="P574" s="544"/>
      <c r="Q574" s="544"/>
      <c r="R574" s="544"/>
      <c r="S574" s="544"/>
    </row>
    <row r="575" ht="14.25" customHeight="1">
      <c r="A575" s="542"/>
      <c r="B575" s="543"/>
      <c r="C575" s="543"/>
      <c r="D575" s="544"/>
      <c r="E575" s="544"/>
      <c r="F575" s="544"/>
      <c r="G575" s="544"/>
      <c r="H575" s="544"/>
      <c r="I575" s="543"/>
      <c r="J575" s="543"/>
      <c r="K575" s="544"/>
      <c r="L575" s="543"/>
      <c r="M575" s="544"/>
      <c r="N575" s="543"/>
      <c r="O575" s="544"/>
      <c r="P575" s="544"/>
      <c r="Q575" s="544"/>
      <c r="R575" s="544"/>
      <c r="S575" s="544"/>
    </row>
    <row r="576" ht="14.25" customHeight="1">
      <c r="A576" s="542"/>
      <c r="B576" s="543"/>
      <c r="C576" s="543"/>
      <c r="D576" s="544"/>
      <c r="E576" s="544"/>
      <c r="F576" s="544"/>
      <c r="G576" s="544"/>
      <c r="H576" s="544"/>
      <c r="I576" s="543"/>
      <c r="J576" s="543"/>
      <c r="K576" s="544"/>
      <c r="L576" s="543"/>
      <c r="M576" s="544"/>
      <c r="N576" s="543"/>
      <c r="O576" s="544"/>
      <c r="P576" s="544"/>
      <c r="Q576" s="544"/>
      <c r="R576" s="544"/>
      <c r="S576" s="544"/>
    </row>
    <row r="577" ht="14.25" customHeight="1">
      <c r="A577" s="542"/>
      <c r="B577" s="543"/>
      <c r="C577" s="543"/>
      <c r="D577" s="544"/>
      <c r="E577" s="544"/>
      <c r="F577" s="544"/>
      <c r="G577" s="544"/>
      <c r="H577" s="544"/>
      <c r="I577" s="543"/>
      <c r="J577" s="543"/>
      <c r="K577" s="544"/>
      <c r="L577" s="543"/>
      <c r="M577" s="544"/>
      <c r="N577" s="543"/>
      <c r="O577" s="544"/>
      <c r="P577" s="544"/>
      <c r="Q577" s="544"/>
      <c r="R577" s="544"/>
      <c r="S577" s="544"/>
    </row>
    <row r="578" ht="14.25" customHeight="1">
      <c r="A578" s="542"/>
      <c r="B578" s="543"/>
      <c r="C578" s="543"/>
      <c r="D578" s="544"/>
      <c r="E578" s="544"/>
      <c r="F578" s="544"/>
      <c r="G578" s="544"/>
      <c r="H578" s="544"/>
      <c r="I578" s="543"/>
      <c r="J578" s="543"/>
      <c r="K578" s="544"/>
      <c r="L578" s="543"/>
      <c r="M578" s="544"/>
      <c r="N578" s="543"/>
      <c r="O578" s="544"/>
      <c r="P578" s="544"/>
      <c r="Q578" s="544"/>
      <c r="R578" s="544"/>
      <c r="S578" s="544"/>
    </row>
    <row r="579" ht="14.25" customHeight="1">
      <c r="A579" s="542"/>
      <c r="B579" s="543"/>
      <c r="C579" s="543"/>
      <c r="D579" s="544"/>
      <c r="E579" s="544"/>
      <c r="F579" s="544"/>
      <c r="G579" s="544"/>
      <c r="H579" s="544"/>
      <c r="I579" s="543"/>
      <c r="J579" s="543"/>
      <c r="K579" s="544"/>
      <c r="L579" s="543"/>
      <c r="M579" s="544"/>
      <c r="N579" s="543"/>
      <c r="O579" s="544"/>
      <c r="P579" s="544"/>
      <c r="Q579" s="544"/>
      <c r="R579" s="544"/>
      <c r="S579" s="544"/>
    </row>
    <row r="580" ht="14.25" customHeight="1">
      <c r="A580" s="542"/>
      <c r="B580" s="543"/>
      <c r="C580" s="543"/>
      <c r="D580" s="544"/>
      <c r="E580" s="544"/>
      <c r="F580" s="544"/>
      <c r="G580" s="544"/>
      <c r="H580" s="544"/>
      <c r="I580" s="543"/>
      <c r="J580" s="543"/>
      <c r="K580" s="544"/>
      <c r="L580" s="543"/>
      <c r="M580" s="544"/>
      <c r="N580" s="543"/>
      <c r="O580" s="544"/>
      <c r="P580" s="544"/>
      <c r="Q580" s="544"/>
      <c r="R580" s="544"/>
      <c r="S580" s="544"/>
    </row>
    <row r="581" ht="14.25" customHeight="1">
      <c r="A581" s="542"/>
      <c r="B581" s="543"/>
      <c r="C581" s="543"/>
      <c r="D581" s="544"/>
      <c r="E581" s="544"/>
      <c r="F581" s="544"/>
      <c r="G581" s="544"/>
      <c r="H581" s="544"/>
      <c r="I581" s="543"/>
      <c r="J581" s="543"/>
      <c r="K581" s="544"/>
      <c r="L581" s="543"/>
      <c r="M581" s="544"/>
      <c r="N581" s="543"/>
      <c r="O581" s="544"/>
      <c r="P581" s="544"/>
      <c r="Q581" s="544"/>
      <c r="R581" s="544"/>
      <c r="S581" s="544"/>
    </row>
    <row r="582" ht="14.25" customHeight="1">
      <c r="A582" s="542"/>
      <c r="B582" s="543"/>
      <c r="C582" s="543"/>
      <c r="D582" s="544"/>
      <c r="E582" s="544"/>
      <c r="F582" s="544"/>
      <c r="G582" s="544"/>
      <c r="H582" s="544"/>
      <c r="I582" s="543"/>
      <c r="J582" s="543"/>
      <c r="K582" s="544"/>
      <c r="L582" s="543"/>
      <c r="M582" s="544"/>
      <c r="N582" s="543"/>
      <c r="O582" s="544"/>
      <c r="P582" s="544"/>
      <c r="Q582" s="544"/>
      <c r="R582" s="544"/>
      <c r="S582" s="544"/>
    </row>
    <row r="583" ht="14.25" customHeight="1">
      <c r="A583" s="542"/>
      <c r="B583" s="543"/>
      <c r="C583" s="543"/>
      <c r="D583" s="544"/>
      <c r="E583" s="544"/>
      <c r="F583" s="544"/>
      <c r="G583" s="544"/>
      <c r="H583" s="544"/>
      <c r="I583" s="543"/>
      <c r="J583" s="543"/>
      <c r="K583" s="544"/>
      <c r="L583" s="543"/>
      <c r="M583" s="544"/>
      <c r="N583" s="543"/>
      <c r="O583" s="544"/>
      <c r="P583" s="544"/>
      <c r="Q583" s="544"/>
      <c r="R583" s="544"/>
      <c r="S583" s="544"/>
    </row>
    <row r="584" ht="14.25" customHeight="1">
      <c r="A584" s="542"/>
      <c r="B584" s="543"/>
      <c r="C584" s="543"/>
      <c r="D584" s="544"/>
      <c r="E584" s="544"/>
      <c r="F584" s="544"/>
      <c r="G584" s="544"/>
      <c r="H584" s="544"/>
      <c r="I584" s="543"/>
      <c r="J584" s="543"/>
      <c r="K584" s="544"/>
      <c r="L584" s="543"/>
      <c r="M584" s="544"/>
      <c r="N584" s="543"/>
      <c r="O584" s="544"/>
      <c r="P584" s="544"/>
      <c r="Q584" s="544"/>
      <c r="R584" s="544"/>
      <c r="S584" s="544"/>
    </row>
    <row r="585" ht="14.25" customHeight="1">
      <c r="A585" s="542"/>
      <c r="B585" s="543"/>
      <c r="C585" s="543"/>
      <c r="D585" s="544"/>
      <c r="E585" s="544"/>
      <c r="F585" s="544"/>
      <c r="G585" s="544"/>
      <c r="H585" s="544"/>
      <c r="I585" s="543"/>
      <c r="J585" s="543"/>
      <c r="K585" s="544"/>
      <c r="L585" s="543"/>
      <c r="M585" s="544"/>
      <c r="N585" s="543"/>
      <c r="O585" s="544"/>
      <c r="P585" s="544"/>
      <c r="Q585" s="544"/>
      <c r="R585" s="544"/>
      <c r="S585" s="544"/>
    </row>
    <row r="586" ht="14.25" customHeight="1">
      <c r="A586" s="542"/>
      <c r="B586" s="543"/>
      <c r="C586" s="543"/>
      <c r="D586" s="544"/>
      <c r="E586" s="544"/>
      <c r="F586" s="544"/>
      <c r="G586" s="544"/>
      <c r="H586" s="544"/>
      <c r="I586" s="543"/>
      <c r="J586" s="543"/>
      <c r="K586" s="544"/>
      <c r="L586" s="543"/>
      <c r="M586" s="544"/>
      <c r="N586" s="543"/>
      <c r="O586" s="544"/>
      <c r="P586" s="544"/>
      <c r="Q586" s="544"/>
      <c r="R586" s="544"/>
      <c r="S586" s="544"/>
    </row>
    <row r="587" ht="14.25" customHeight="1">
      <c r="A587" s="542"/>
      <c r="B587" s="543"/>
      <c r="C587" s="543"/>
      <c r="D587" s="544"/>
      <c r="E587" s="544"/>
      <c r="F587" s="544"/>
      <c r="G587" s="544"/>
      <c r="H587" s="544"/>
      <c r="I587" s="543"/>
      <c r="J587" s="543"/>
      <c r="K587" s="544"/>
      <c r="L587" s="543"/>
      <c r="M587" s="544"/>
      <c r="N587" s="543"/>
      <c r="O587" s="544"/>
      <c r="P587" s="544"/>
      <c r="Q587" s="544"/>
      <c r="R587" s="544"/>
      <c r="S587" s="544"/>
    </row>
    <row r="588" ht="14.25" customHeight="1">
      <c r="A588" s="542"/>
      <c r="B588" s="543"/>
      <c r="C588" s="543"/>
      <c r="D588" s="544"/>
      <c r="E588" s="544"/>
      <c r="F588" s="544"/>
      <c r="G588" s="544"/>
      <c r="H588" s="544"/>
      <c r="I588" s="543"/>
      <c r="J588" s="543"/>
      <c r="K588" s="544"/>
      <c r="L588" s="543"/>
      <c r="M588" s="544"/>
      <c r="N588" s="543"/>
      <c r="O588" s="544"/>
      <c r="P588" s="544"/>
      <c r="Q588" s="544"/>
      <c r="R588" s="544"/>
      <c r="S588" s="544"/>
    </row>
    <row r="589" ht="14.25" customHeight="1">
      <c r="A589" s="542"/>
      <c r="B589" s="543"/>
      <c r="C589" s="543"/>
      <c r="D589" s="544"/>
      <c r="E589" s="544"/>
      <c r="F589" s="544"/>
      <c r="G589" s="544"/>
      <c r="H589" s="544"/>
      <c r="I589" s="543"/>
      <c r="J589" s="543"/>
      <c r="K589" s="544"/>
      <c r="L589" s="543"/>
      <c r="M589" s="544"/>
      <c r="N589" s="543"/>
      <c r="O589" s="544"/>
      <c r="P589" s="544"/>
      <c r="Q589" s="544"/>
      <c r="R589" s="544"/>
      <c r="S589" s="544"/>
    </row>
    <row r="590" ht="14.25" customHeight="1">
      <c r="A590" s="542"/>
      <c r="B590" s="543"/>
      <c r="C590" s="543"/>
      <c r="D590" s="544"/>
      <c r="E590" s="544"/>
      <c r="F590" s="544"/>
      <c r="G590" s="544"/>
      <c r="H590" s="544"/>
      <c r="I590" s="543"/>
      <c r="J590" s="543"/>
      <c r="K590" s="544"/>
      <c r="L590" s="543"/>
      <c r="M590" s="544"/>
      <c r="N590" s="543"/>
      <c r="O590" s="544"/>
      <c r="P590" s="544"/>
      <c r="Q590" s="544"/>
      <c r="R590" s="544"/>
      <c r="S590" s="544"/>
    </row>
    <row r="591" ht="14.25" customHeight="1">
      <c r="A591" s="542"/>
      <c r="B591" s="543"/>
      <c r="C591" s="543"/>
      <c r="D591" s="544"/>
      <c r="E591" s="544"/>
      <c r="F591" s="544"/>
      <c r="G591" s="544"/>
      <c r="H591" s="544"/>
      <c r="I591" s="543"/>
      <c r="J591" s="543"/>
      <c r="K591" s="544"/>
      <c r="L591" s="543"/>
      <c r="M591" s="544"/>
      <c r="N591" s="543"/>
      <c r="O591" s="544"/>
      <c r="P591" s="544"/>
      <c r="Q591" s="544"/>
      <c r="R591" s="544"/>
      <c r="S591" s="544"/>
    </row>
    <row r="592" ht="14.25" customHeight="1">
      <c r="A592" s="542"/>
      <c r="B592" s="543"/>
      <c r="C592" s="543"/>
      <c r="D592" s="544"/>
      <c r="E592" s="544"/>
      <c r="F592" s="544"/>
      <c r="G592" s="544"/>
      <c r="H592" s="544"/>
      <c r="I592" s="543"/>
      <c r="J592" s="543"/>
      <c r="K592" s="544"/>
      <c r="L592" s="543"/>
      <c r="M592" s="544"/>
      <c r="N592" s="543"/>
      <c r="O592" s="544"/>
      <c r="P592" s="544"/>
      <c r="Q592" s="544"/>
      <c r="R592" s="544"/>
      <c r="S592" s="544"/>
    </row>
    <row r="593" ht="14.25" customHeight="1">
      <c r="A593" s="542"/>
      <c r="B593" s="543"/>
      <c r="C593" s="543"/>
      <c r="D593" s="544"/>
      <c r="E593" s="544"/>
      <c r="F593" s="544"/>
      <c r="G593" s="544"/>
      <c r="H593" s="544"/>
      <c r="I593" s="543"/>
      <c r="J593" s="543"/>
      <c r="K593" s="544"/>
      <c r="L593" s="543"/>
      <c r="M593" s="544"/>
      <c r="N593" s="543"/>
      <c r="O593" s="544"/>
      <c r="P593" s="544"/>
      <c r="Q593" s="544"/>
      <c r="R593" s="544"/>
      <c r="S593" s="544"/>
    </row>
    <row r="594" ht="14.25" customHeight="1">
      <c r="A594" s="542"/>
      <c r="B594" s="543"/>
      <c r="C594" s="543"/>
      <c r="D594" s="544"/>
      <c r="E594" s="544"/>
      <c r="F594" s="544"/>
      <c r="G594" s="544"/>
      <c r="H594" s="544"/>
      <c r="I594" s="543"/>
      <c r="J594" s="543"/>
      <c r="K594" s="544"/>
      <c r="L594" s="543"/>
      <c r="M594" s="544"/>
      <c r="N594" s="543"/>
      <c r="O594" s="544"/>
      <c r="P594" s="544"/>
      <c r="Q594" s="544"/>
      <c r="R594" s="544"/>
      <c r="S594" s="544"/>
    </row>
    <row r="595" ht="14.25" customHeight="1">
      <c r="A595" s="542"/>
      <c r="B595" s="543"/>
      <c r="C595" s="543"/>
      <c r="D595" s="544"/>
      <c r="E595" s="544"/>
      <c r="F595" s="544"/>
      <c r="G595" s="544"/>
      <c r="H595" s="544"/>
      <c r="I595" s="543"/>
      <c r="J595" s="543"/>
      <c r="K595" s="544"/>
      <c r="L595" s="543"/>
      <c r="M595" s="544"/>
      <c r="N595" s="543"/>
      <c r="O595" s="544"/>
      <c r="P595" s="544"/>
      <c r="Q595" s="544"/>
      <c r="R595" s="544"/>
      <c r="S595" s="544"/>
    </row>
    <row r="596" ht="14.25" customHeight="1">
      <c r="A596" s="542"/>
      <c r="B596" s="543"/>
      <c r="C596" s="543"/>
      <c r="D596" s="544"/>
      <c r="E596" s="544"/>
      <c r="F596" s="544"/>
      <c r="G596" s="544"/>
      <c r="H596" s="544"/>
      <c r="I596" s="543"/>
      <c r="J596" s="543"/>
      <c r="K596" s="544"/>
      <c r="L596" s="543"/>
      <c r="M596" s="544"/>
      <c r="N596" s="543"/>
      <c r="O596" s="544"/>
      <c r="P596" s="544"/>
      <c r="Q596" s="544"/>
      <c r="R596" s="544"/>
      <c r="S596" s="544"/>
    </row>
    <row r="597" ht="14.25" customHeight="1">
      <c r="A597" s="542"/>
      <c r="B597" s="543"/>
      <c r="C597" s="543"/>
      <c r="D597" s="544"/>
      <c r="E597" s="544"/>
      <c r="F597" s="544"/>
      <c r="G597" s="544"/>
      <c r="H597" s="544"/>
      <c r="I597" s="543"/>
      <c r="J597" s="543"/>
      <c r="K597" s="544"/>
      <c r="L597" s="543"/>
      <c r="M597" s="544"/>
      <c r="N597" s="543"/>
      <c r="O597" s="544"/>
      <c r="P597" s="544"/>
      <c r="Q597" s="544"/>
      <c r="R597" s="544"/>
      <c r="S597" s="544"/>
    </row>
    <row r="598" ht="14.25" customHeight="1">
      <c r="A598" s="542"/>
      <c r="B598" s="543"/>
      <c r="C598" s="543"/>
      <c r="D598" s="544"/>
      <c r="E598" s="544"/>
      <c r="F598" s="544"/>
      <c r="G598" s="544"/>
      <c r="H598" s="544"/>
      <c r="I598" s="543"/>
      <c r="J598" s="543"/>
      <c r="K598" s="544"/>
      <c r="L598" s="543"/>
      <c r="M598" s="544"/>
      <c r="N598" s="543"/>
      <c r="O598" s="544"/>
      <c r="P598" s="544"/>
      <c r="Q598" s="544"/>
      <c r="R598" s="544"/>
      <c r="S598" s="544"/>
    </row>
    <row r="599" ht="14.25" customHeight="1">
      <c r="A599" s="542"/>
      <c r="B599" s="543"/>
      <c r="C599" s="543"/>
      <c r="D599" s="544"/>
      <c r="E599" s="544"/>
      <c r="F599" s="544"/>
      <c r="G599" s="544"/>
      <c r="H599" s="544"/>
      <c r="I599" s="543"/>
      <c r="J599" s="543"/>
      <c r="K599" s="544"/>
      <c r="L599" s="543"/>
      <c r="M599" s="544"/>
      <c r="N599" s="543"/>
      <c r="O599" s="544"/>
      <c r="P599" s="544"/>
      <c r="Q599" s="544"/>
      <c r="R599" s="544"/>
      <c r="S599" s="544"/>
    </row>
    <row r="600" ht="14.25" customHeight="1">
      <c r="A600" s="542"/>
      <c r="B600" s="543"/>
      <c r="C600" s="543"/>
      <c r="D600" s="544"/>
      <c r="E600" s="544"/>
      <c r="F600" s="544"/>
      <c r="G600" s="544"/>
      <c r="H600" s="544"/>
      <c r="I600" s="543"/>
      <c r="J600" s="543"/>
      <c r="K600" s="544"/>
      <c r="L600" s="543"/>
      <c r="M600" s="544"/>
      <c r="N600" s="543"/>
      <c r="O600" s="544"/>
      <c r="P600" s="544"/>
      <c r="Q600" s="544"/>
      <c r="R600" s="544"/>
      <c r="S600" s="544"/>
    </row>
    <row r="601" ht="14.25" customHeight="1">
      <c r="A601" s="542"/>
      <c r="B601" s="543"/>
      <c r="C601" s="543"/>
      <c r="D601" s="544"/>
      <c r="E601" s="544"/>
      <c r="F601" s="544"/>
      <c r="G601" s="544"/>
      <c r="H601" s="544"/>
      <c r="I601" s="543"/>
      <c r="J601" s="543"/>
      <c r="K601" s="544"/>
      <c r="L601" s="543"/>
      <c r="M601" s="544"/>
      <c r="N601" s="543"/>
      <c r="O601" s="544"/>
      <c r="P601" s="544"/>
      <c r="Q601" s="544"/>
      <c r="R601" s="544"/>
      <c r="S601" s="544"/>
    </row>
    <row r="602" ht="14.25" customHeight="1">
      <c r="A602" s="542"/>
      <c r="B602" s="543"/>
      <c r="C602" s="543"/>
      <c r="D602" s="544"/>
      <c r="E602" s="544"/>
      <c r="F602" s="544"/>
      <c r="G602" s="544"/>
      <c r="H602" s="544"/>
      <c r="I602" s="543"/>
      <c r="J602" s="543"/>
      <c r="K602" s="544"/>
      <c r="L602" s="543"/>
      <c r="M602" s="544"/>
      <c r="N602" s="543"/>
      <c r="O602" s="544"/>
      <c r="P602" s="544"/>
      <c r="Q602" s="544"/>
      <c r="R602" s="544"/>
      <c r="S602" s="544"/>
    </row>
    <row r="603" ht="14.25" customHeight="1">
      <c r="A603" s="542"/>
      <c r="B603" s="543"/>
      <c r="C603" s="543"/>
      <c r="D603" s="544"/>
      <c r="E603" s="544"/>
      <c r="F603" s="544"/>
      <c r="G603" s="544"/>
      <c r="H603" s="544"/>
      <c r="I603" s="543"/>
      <c r="J603" s="543"/>
      <c r="K603" s="544"/>
      <c r="L603" s="543"/>
      <c r="M603" s="544"/>
      <c r="N603" s="543"/>
      <c r="O603" s="544"/>
      <c r="P603" s="544"/>
      <c r="Q603" s="544"/>
      <c r="R603" s="544"/>
      <c r="S603" s="544"/>
    </row>
    <row r="604" ht="14.25" customHeight="1">
      <c r="A604" s="542"/>
      <c r="B604" s="543"/>
      <c r="C604" s="543"/>
      <c r="D604" s="544"/>
      <c r="E604" s="544"/>
      <c r="F604" s="544"/>
      <c r="G604" s="544"/>
      <c r="H604" s="544"/>
      <c r="I604" s="543"/>
      <c r="J604" s="543"/>
      <c r="K604" s="544"/>
      <c r="L604" s="543"/>
      <c r="M604" s="544"/>
      <c r="N604" s="543"/>
      <c r="O604" s="544"/>
      <c r="P604" s="544"/>
      <c r="Q604" s="544"/>
      <c r="R604" s="544"/>
      <c r="S604" s="544"/>
    </row>
    <row r="605" ht="14.25" customHeight="1">
      <c r="A605" s="542"/>
      <c r="B605" s="543"/>
      <c r="C605" s="543"/>
      <c r="D605" s="544"/>
      <c r="E605" s="544"/>
      <c r="F605" s="544"/>
      <c r="G605" s="544"/>
      <c r="H605" s="544"/>
      <c r="I605" s="543"/>
      <c r="J605" s="543"/>
      <c r="K605" s="544"/>
      <c r="L605" s="543"/>
      <c r="M605" s="544"/>
      <c r="N605" s="543"/>
      <c r="O605" s="544"/>
      <c r="P605" s="544"/>
      <c r="Q605" s="544"/>
      <c r="R605" s="544"/>
      <c r="S605" s="544"/>
    </row>
    <row r="606" ht="14.25" customHeight="1">
      <c r="A606" s="542"/>
      <c r="B606" s="543"/>
      <c r="C606" s="543"/>
      <c r="D606" s="544"/>
      <c r="E606" s="544"/>
      <c r="F606" s="544"/>
      <c r="G606" s="544"/>
      <c r="H606" s="544"/>
      <c r="I606" s="543"/>
      <c r="J606" s="543"/>
      <c r="K606" s="544"/>
      <c r="L606" s="543"/>
      <c r="M606" s="544"/>
      <c r="N606" s="543"/>
      <c r="O606" s="544"/>
      <c r="P606" s="544"/>
      <c r="Q606" s="544"/>
      <c r="R606" s="544"/>
      <c r="S606" s="544"/>
    </row>
    <row r="607" ht="14.25" customHeight="1">
      <c r="A607" s="542"/>
      <c r="B607" s="543"/>
      <c r="C607" s="543"/>
      <c r="D607" s="544"/>
      <c r="E607" s="544"/>
      <c r="F607" s="544"/>
      <c r="G607" s="544"/>
      <c r="H607" s="544"/>
      <c r="I607" s="543"/>
      <c r="J607" s="543"/>
      <c r="K607" s="544"/>
      <c r="L607" s="543"/>
      <c r="M607" s="544"/>
      <c r="N607" s="543"/>
      <c r="O607" s="544"/>
      <c r="P607" s="544"/>
      <c r="Q607" s="544"/>
      <c r="R607" s="544"/>
      <c r="S607" s="544"/>
    </row>
    <row r="608" ht="14.25" customHeight="1">
      <c r="A608" s="542"/>
      <c r="B608" s="543"/>
      <c r="C608" s="543"/>
      <c r="D608" s="544"/>
      <c r="E608" s="544"/>
      <c r="F608" s="544"/>
      <c r="G608" s="544"/>
      <c r="H608" s="544"/>
      <c r="I608" s="543"/>
      <c r="J608" s="543"/>
      <c r="K608" s="544"/>
      <c r="L608" s="543"/>
      <c r="M608" s="544"/>
      <c r="N608" s="543"/>
      <c r="O608" s="544"/>
      <c r="P608" s="544"/>
      <c r="Q608" s="544"/>
      <c r="R608" s="544"/>
      <c r="S608" s="544"/>
    </row>
    <row r="609" ht="14.25" customHeight="1">
      <c r="A609" s="542"/>
      <c r="B609" s="543"/>
      <c r="C609" s="543"/>
      <c r="D609" s="544"/>
      <c r="E609" s="544"/>
      <c r="F609" s="544"/>
      <c r="G609" s="544"/>
      <c r="H609" s="544"/>
      <c r="I609" s="543"/>
      <c r="J609" s="543"/>
      <c r="K609" s="544"/>
      <c r="L609" s="543"/>
      <c r="M609" s="544"/>
      <c r="N609" s="543"/>
      <c r="O609" s="544"/>
      <c r="P609" s="544"/>
      <c r="Q609" s="544"/>
      <c r="R609" s="544"/>
      <c r="S609" s="544"/>
    </row>
    <row r="610" ht="14.25" customHeight="1">
      <c r="A610" s="542"/>
      <c r="B610" s="543"/>
      <c r="C610" s="543"/>
      <c r="D610" s="544"/>
      <c r="E610" s="544"/>
      <c r="F610" s="544"/>
      <c r="G610" s="544"/>
      <c r="H610" s="544"/>
      <c r="I610" s="543"/>
      <c r="J610" s="543"/>
      <c r="K610" s="544"/>
      <c r="L610" s="543"/>
      <c r="M610" s="544"/>
      <c r="N610" s="543"/>
      <c r="O610" s="544"/>
      <c r="P610" s="544"/>
      <c r="Q610" s="544"/>
      <c r="R610" s="544"/>
      <c r="S610" s="544"/>
    </row>
    <row r="611" ht="14.25" customHeight="1">
      <c r="A611" s="542"/>
      <c r="B611" s="543"/>
      <c r="C611" s="543"/>
      <c r="D611" s="544"/>
      <c r="E611" s="544"/>
      <c r="F611" s="544"/>
      <c r="G611" s="544"/>
      <c r="H611" s="544"/>
      <c r="I611" s="543"/>
      <c r="J611" s="543"/>
      <c r="K611" s="544"/>
      <c r="L611" s="543"/>
      <c r="M611" s="544"/>
      <c r="N611" s="543"/>
      <c r="O611" s="544"/>
      <c r="P611" s="544"/>
      <c r="Q611" s="544"/>
      <c r="R611" s="544"/>
      <c r="S611" s="544"/>
    </row>
    <row r="612" ht="14.25" customHeight="1">
      <c r="A612" s="542"/>
      <c r="B612" s="543"/>
      <c r="C612" s="543"/>
      <c r="D612" s="544"/>
      <c r="E612" s="544"/>
      <c r="F612" s="544"/>
      <c r="G612" s="544"/>
      <c r="H612" s="544"/>
      <c r="I612" s="543"/>
      <c r="J612" s="543"/>
      <c r="K612" s="544"/>
      <c r="L612" s="543"/>
      <c r="M612" s="544"/>
      <c r="N612" s="543"/>
      <c r="O612" s="544"/>
      <c r="P612" s="544"/>
      <c r="Q612" s="544"/>
      <c r="R612" s="544"/>
      <c r="S612" s="544"/>
    </row>
    <row r="613" ht="14.25" customHeight="1">
      <c r="A613" s="542"/>
      <c r="B613" s="543"/>
      <c r="C613" s="543"/>
      <c r="D613" s="544"/>
      <c r="E613" s="544"/>
      <c r="F613" s="544"/>
      <c r="G613" s="544"/>
      <c r="H613" s="544"/>
      <c r="I613" s="543"/>
      <c r="J613" s="543"/>
      <c r="K613" s="544"/>
      <c r="L613" s="543"/>
      <c r="M613" s="544"/>
      <c r="N613" s="543"/>
      <c r="O613" s="544"/>
      <c r="P613" s="544"/>
      <c r="Q613" s="544"/>
      <c r="R613" s="544"/>
      <c r="S613" s="544"/>
    </row>
    <row r="614" ht="14.25" customHeight="1">
      <c r="A614" s="542"/>
      <c r="B614" s="543"/>
      <c r="C614" s="543"/>
      <c r="D614" s="544"/>
      <c r="E614" s="544"/>
      <c r="F614" s="544"/>
      <c r="G614" s="544"/>
      <c r="H614" s="544"/>
      <c r="I614" s="543"/>
      <c r="J614" s="543"/>
      <c r="K614" s="544"/>
      <c r="L614" s="543"/>
      <c r="M614" s="544"/>
      <c r="N614" s="543"/>
      <c r="O614" s="544"/>
      <c r="P614" s="544"/>
      <c r="Q614" s="544"/>
      <c r="R614" s="544"/>
      <c r="S614" s="544"/>
    </row>
    <row r="615" ht="14.25" customHeight="1">
      <c r="A615" s="542"/>
      <c r="B615" s="543"/>
      <c r="C615" s="543"/>
      <c r="D615" s="544"/>
      <c r="E615" s="544"/>
      <c r="F615" s="544"/>
      <c r="G615" s="544"/>
      <c r="H615" s="544"/>
      <c r="I615" s="543"/>
      <c r="J615" s="543"/>
      <c r="K615" s="544"/>
      <c r="L615" s="543"/>
      <c r="M615" s="544"/>
      <c r="N615" s="543"/>
      <c r="O615" s="544"/>
      <c r="P615" s="544"/>
      <c r="Q615" s="544"/>
      <c r="R615" s="544"/>
      <c r="S615" s="544"/>
    </row>
    <row r="616" ht="14.25" customHeight="1">
      <c r="A616" s="542"/>
      <c r="B616" s="543"/>
      <c r="C616" s="543"/>
      <c r="D616" s="544"/>
      <c r="E616" s="544"/>
      <c r="F616" s="544"/>
      <c r="G616" s="544"/>
      <c r="H616" s="544"/>
      <c r="I616" s="543"/>
      <c r="J616" s="543"/>
      <c r="K616" s="544"/>
      <c r="L616" s="543"/>
      <c r="M616" s="544"/>
      <c r="N616" s="543"/>
      <c r="O616" s="544"/>
      <c r="P616" s="544"/>
      <c r="Q616" s="544"/>
      <c r="R616" s="544"/>
      <c r="S616" s="544"/>
    </row>
    <row r="617" ht="14.25" customHeight="1">
      <c r="A617" s="542"/>
      <c r="B617" s="543"/>
      <c r="C617" s="543"/>
      <c r="D617" s="544"/>
      <c r="E617" s="544"/>
      <c r="F617" s="544"/>
      <c r="G617" s="544"/>
      <c r="H617" s="544"/>
      <c r="I617" s="543"/>
      <c r="J617" s="543"/>
      <c r="K617" s="544"/>
      <c r="L617" s="543"/>
      <c r="M617" s="544"/>
      <c r="N617" s="543"/>
      <c r="O617" s="544"/>
      <c r="P617" s="544"/>
      <c r="Q617" s="544"/>
      <c r="R617" s="544"/>
      <c r="S617" s="544"/>
    </row>
    <row r="618" ht="14.25" customHeight="1">
      <c r="A618" s="542"/>
      <c r="B618" s="543"/>
      <c r="C618" s="543"/>
      <c r="D618" s="544"/>
      <c r="E618" s="544"/>
      <c r="F618" s="544"/>
      <c r="G618" s="544"/>
      <c r="H618" s="544"/>
      <c r="I618" s="543"/>
      <c r="J618" s="543"/>
      <c r="K618" s="544"/>
      <c r="L618" s="543"/>
      <c r="M618" s="544"/>
      <c r="N618" s="543"/>
      <c r="O618" s="544"/>
      <c r="P618" s="544"/>
      <c r="Q618" s="544"/>
      <c r="R618" s="544"/>
      <c r="S618" s="544"/>
    </row>
    <row r="619" ht="14.25" customHeight="1">
      <c r="A619" s="542"/>
      <c r="B619" s="543"/>
      <c r="C619" s="543"/>
      <c r="D619" s="544"/>
      <c r="E619" s="544"/>
      <c r="F619" s="544"/>
      <c r="G619" s="544"/>
      <c r="H619" s="544"/>
      <c r="I619" s="543"/>
      <c r="J619" s="543"/>
      <c r="K619" s="544"/>
      <c r="L619" s="543"/>
      <c r="M619" s="544"/>
      <c r="N619" s="543"/>
      <c r="O619" s="544"/>
      <c r="P619" s="544"/>
      <c r="Q619" s="544"/>
      <c r="R619" s="544"/>
      <c r="S619" s="544"/>
    </row>
    <row r="620" ht="14.25" customHeight="1">
      <c r="A620" s="542"/>
      <c r="B620" s="543"/>
      <c r="C620" s="543"/>
      <c r="D620" s="544"/>
      <c r="E620" s="544"/>
      <c r="F620" s="544"/>
      <c r="G620" s="544"/>
      <c r="H620" s="544"/>
      <c r="I620" s="543"/>
      <c r="J620" s="543"/>
      <c r="K620" s="544"/>
      <c r="L620" s="543"/>
      <c r="M620" s="544"/>
      <c r="N620" s="543"/>
      <c r="O620" s="544"/>
      <c r="P620" s="544"/>
      <c r="Q620" s="544"/>
      <c r="R620" s="544"/>
      <c r="S620" s="544"/>
    </row>
    <row r="621" ht="14.25" customHeight="1">
      <c r="A621" s="542"/>
      <c r="B621" s="543"/>
      <c r="C621" s="543"/>
      <c r="D621" s="544"/>
      <c r="E621" s="544"/>
      <c r="F621" s="544"/>
      <c r="G621" s="544"/>
      <c r="H621" s="544"/>
      <c r="I621" s="543"/>
      <c r="J621" s="543"/>
      <c r="K621" s="544"/>
      <c r="L621" s="543"/>
      <c r="M621" s="544"/>
      <c r="N621" s="543"/>
      <c r="O621" s="544"/>
      <c r="P621" s="544"/>
      <c r="Q621" s="544"/>
      <c r="R621" s="544"/>
      <c r="S621" s="544"/>
    </row>
    <row r="622" ht="14.25" customHeight="1">
      <c r="A622" s="542"/>
      <c r="B622" s="543"/>
      <c r="C622" s="543"/>
      <c r="D622" s="544"/>
      <c r="E622" s="544"/>
      <c r="F622" s="544"/>
      <c r="G622" s="544"/>
      <c r="H622" s="544"/>
      <c r="I622" s="543"/>
      <c r="J622" s="543"/>
      <c r="K622" s="544"/>
      <c r="L622" s="543"/>
      <c r="M622" s="544"/>
      <c r="N622" s="543"/>
      <c r="O622" s="544"/>
      <c r="P622" s="544"/>
      <c r="Q622" s="544"/>
      <c r="R622" s="544"/>
      <c r="S622" s="544"/>
    </row>
    <row r="623" ht="14.25" customHeight="1">
      <c r="A623" s="542"/>
      <c r="B623" s="543"/>
      <c r="C623" s="543"/>
      <c r="D623" s="544"/>
      <c r="E623" s="544"/>
      <c r="F623" s="544"/>
      <c r="G623" s="544"/>
      <c r="H623" s="544"/>
      <c r="I623" s="543"/>
      <c r="J623" s="543"/>
      <c r="K623" s="544"/>
      <c r="L623" s="543"/>
      <c r="M623" s="544"/>
      <c r="N623" s="543"/>
      <c r="O623" s="544"/>
      <c r="P623" s="544"/>
      <c r="Q623" s="544"/>
      <c r="R623" s="544"/>
      <c r="S623" s="544"/>
    </row>
    <row r="624" ht="14.25" customHeight="1">
      <c r="A624" s="542"/>
      <c r="B624" s="543"/>
      <c r="C624" s="543"/>
      <c r="D624" s="544"/>
      <c r="E624" s="544"/>
      <c r="F624" s="544"/>
      <c r="G624" s="544"/>
      <c r="H624" s="544"/>
      <c r="I624" s="543"/>
      <c r="J624" s="543"/>
      <c r="K624" s="544"/>
      <c r="L624" s="543"/>
      <c r="M624" s="544"/>
      <c r="N624" s="543"/>
      <c r="O624" s="544"/>
      <c r="P624" s="544"/>
      <c r="Q624" s="544"/>
      <c r="R624" s="544"/>
      <c r="S624" s="544"/>
    </row>
    <row r="625" ht="14.25" customHeight="1">
      <c r="A625" s="542"/>
      <c r="B625" s="543"/>
      <c r="C625" s="543"/>
      <c r="D625" s="544"/>
      <c r="E625" s="544"/>
      <c r="F625" s="544"/>
      <c r="G625" s="544"/>
      <c r="H625" s="544"/>
      <c r="I625" s="543"/>
      <c r="J625" s="543"/>
      <c r="K625" s="544"/>
      <c r="L625" s="543"/>
      <c r="M625" s="544"/>
      <c r="N625" s="543"/>
      <c r="O625" s="544"/>
      <c r="P625" s="544"/>
      <c r="Q625" s="544"/>
      <c r="R625" s="544"/>
      <c r="S625" s="544"/>
    </row>
    <row r="626" ht="14.25" customHeight="1">
      <c r="A626" s="542"/>
      <c r="B626" s="543"/>
      <c r="C626" s="543"/>
      <c r="D626" s="544"/>
      <c r="E626" s="544"/>
      <c r="F626" s="544"/>
      <c r="G626" s="544"/>
      <c r="H626" s="544"/>
      <c r="I626" s="543"/>
      <c r="J626" s="543"/>
      <c r="K626" s="544"/>
      <c r="L626" s="543"/>
      <c r="M626" s="544"/>
      <c r="N626" s="543"/>
      <c r="O626" s="544"/>
      <c r="P626" s="544"/>
      <c r="Q626" s="544"/>
      <c r="R626" s="544"/>
      <c r="S626" s="544"/>
    </row>
    <row r="627" ht="14.25" customHeight="1">
      <c r="A627" s="542"/>
      <c r="B627" s="543"/>
      <c r="C627" s="543"/>
      <c r="D627" s="544"/>
      <c r="E627" s="544"/>
      <c r="F627" s="544"/>
      <c r="G627" s="544"/>
      <c r="H627" s="544"/>
      <c r="I627" s="543"/>
      <c r="J627" s="543"/>
      <c r="K627" s="544"/>
      <c r="L627" s="543"/>
      <c r="M627" s="544"/>
      <c r="N627" s="543"/>
      <c r="O627" s="544"/>
      <c r="P627" s="544"/>
      <c r="Q627" s="544"/>
      <c r="R627" s="544"/>
      <c r="S627" s="544"/>
    </row>
    <row r="628" ht="14.25" customHeight="1">
      <c r="A628" s="542"/>
      <c r="B628" s="543"/>
      <c r="C628" s="543"/>
      <c r="D628" s="544"/>
      <c r="E628" s="544"/>
      <c r="F628" s="544"/>
      <c r="G628" s="544"/>
      <c r="H628" s="544"/>
      <c r="I628" s="543"/>
      <c r="J628" s="543"/>
      <c r="K628" s="544"/>
      <c r="L628" s="543"/>
      <c r="M628" s="544"/>
      <c r="N628" s="543"/>
      <c r="O628" s="544"/>
      <c r="P628" s="544"/>
      <c r="Q628" s="544"/>
      <c r="R628" s="544"/>
      <c r="S628" s="544"/>
    </row>
    <row r="629" ht="14.25" customHeight="1">
      <c r="A629" s="542"/>
      <c r="B629" s="543"/>
      <c r="C629" s="543"/>
      <c r="D629" s="544"/>
      <c r="E629" s="544"/>
      <c r="F629" s="544"/>
      <c r="G629" s="544"/>
      <c r="H629" s="544"/>
      <c r="I629" s="543"/>
      <c r="J629" s="543"/>
      <c r="K629" s="544"/>
      <c r="L629" s="543"/>
      <c r="M629" s="544"/>
      <c r="N629" s="543"/>
      <c r="O629" s="544"/>
      <c r="P629" s="544"/>
      <c r="Q629" s="544"/>
      <c r="R629" s="544"/>
      <c r="S629" s="544"/>
    </row>
    <row r="630" ht="14.25" customHeight="1">
      <c r="A630" s="542"/>
      <c r="B630" s="543"/>
      <c r="C630" s="543"/>
      <c r="D630" s="544"/>
      <c r="E630" s="544"/>
      <c r="F630" s="544"/>
      <c r="G630" s="544"/>
      <c r="H630" s="544"/>
      <c r="I630" s="543"/>
      <c r="J630" s="543"/>
      <c r="K630" s="544"/>
      <c r="L630" s="543"/>
      <c r="M630" s="544"/>
      <c r="N630" s="543"/>
      <c r="O630" s="544"/>
      <c r="P630" s="544"/>
      <c r="Q630" s="544"/>
      <c r="R630" s="544"/>
      <c r="S630" s="544"/>
    </row>
    <row r="631" ht="14.25" customHeight="1">
      <c r="A631" s="542"/>
      <c r="B631" s="543"/>
      <c r="C631" s="543"/>
      <c r="D631" s="544"/>
      <c r="E631" s="544"/>
      <c r="F631" s="544"/>
      <c r="G631" s="544"/>
      <c r="H631" s="544"/>
      <c r="I631" s="543"/>
      <c r="J631" s="543"/>
      <c r="K631" s="544"/>
      <c r="L631" s="543"/>
      <c r="M631" s="544"/>
      <c r="N631" s="543"/>
      <c r="O631" s="544"/>
      <c r="P631" s="544"/>
      <c r="Q631" s="544"/>
      <c r="R631" s="544"/>
      <c r="S631" s="544"/>
    </row>
    <row r="632" ht="14.25" customHeight="1">
      <c r="A632" s="542"/>
      <c r="B632" s="543"/>
      <c r="C632" s="543"/>
      <c r="D632" s="544"/>
      <c r="E632" s="544"/>
      <c r="F632" s="544"/>
      <c r="G632" s="544"/>
      <c r="H632" s="544"/>
      <c r="I632" s="543"/>
      <c r="J632" s="543"/>
      <c r="K632" s="544"/>
      <c r="L632" s="543"/>
      <c r="M632" s="544"/>
      <c r="N632" s="543"/>
      <c r="O632" s="544"/>
      <c r="P632" s="544"/>
      <c r="Q632" s="544"/>
      <c r="R632" s="544"/>
      <c r="S632" s="544"/>
    </row>
    <row r="633" ht="14.25" customHeight="1">
      <c r="A633" s="542"/>
      <c r="B633" s="543"/>
      <c r="C633" s="543"/>
      <c r="D633" s="544"/>
      <c r="E633" s="544"/>
      <c r="F633" s="544"/>
      <c r="G633" s="544"/>
      <c r="H633" s="544"/>
      <c r="I633" s="543"/>
      <c r="J633" s="543"/>
      <c r="K633" s="544"/>
      <c r="L633" s="543"/>
      <c r="M633" s="544"/>
      <c r="N633" s="543"/>
      <c r="O633" s="544"/>
      <c r="P633" s="544"/>
      <c r="Q633" s="544"/>
      <c r="R633" s="544"/>
      <c r="S633" s="544"/>
    </row>
    <row r="634" ht="14.25" customHeight="1">
      <c r="A634" s="542"/>
      <c r="B634" s="543"/>
      <c r="C634" s="543"/>
      <c r="D634" s="544"/>
      <c r="E634" s="544"/>
      <c r="F634" s="544"/>
      <c r="G634" s="544"/>
      <c r="H634" s="544"/>
      <c r="I634" s="543"/>
      <c r="J634" s="543"/>
      <c r="K634" s="544"/>
      <c r="L634" s="543"/>
      <c r="M634" s="544"/>
      <c r="N634" s="543"/>
      <c r="O634" s="544"/>
      <c r="P634" s="544"/>
      <c r="Q634" s="544"/>
      <c r="R634" s="544"/>
      <c r="S634" s="544"/>
    </row>
    <row r="635" ht="14.25" customHeight="1">
      <c r="A635" s="542"/>
      <c r="B635" s="543"/>
      <c r="C635" s="543"/>
      <c r="D635" s="544"/>
      <c r="E635" s="544"/>
      <c r="F635" s="544"/>
      <c r="G635" s="544"/>
      <c r="H635" s="544"/>
      <c r="I635" s="543"/>
      <c r="J635" s="543"/>
      <c r="K635" s="544"/>
      <c r="L635" s="543"/>
      <c r="M635" s="544"/>
      <c r="N635" s="543"/>
      <c r="O635" s="544"/>
      <c r="P635" s="544"/>
      <c r="Q635" s="544"/>
      <c r="R635" s="544"/>
      <c r="S635" s="544"/>
    </row>
    <row r="636" ht="14.25" customHeight="1">
      <c r="A636" s="542"/>
      <c r="B636" s="543"/>
      <c r="C636" s="543"/>
      <c r="D636" s="544"/>
      <c r="E636" s="544"/>
      <c r="F636" s="544"/>
      <c r="G636" s="544"/>
      <c r="H636" s="544"/>
      <c r="I636" s="543"/>
      <c r="J636" s="543"/>
      <c r="K636" s="544"/>
      <c r="L636" s="543"/>
      <c r="M636" s="544"/>
      <c r="N636" s="543"/>
      <c r="O636" s="544"/>
      <c r="P636" s="544"/>
      <c r="Q636" s="544"/>
      <c r="R636" s="544"/>
      <c r="S636" s="544"/>
    </row>
    <row r="637" ht="14.25" customHeight="1">
      <c r="A637" s="542"/>
      <c r="B637" s="543"/>
      <c r="C637" s="543"/>
      <c r="D637" s="544"/>
      <c r="E637" s="544"/>
      <c r="F637" s="544"/>
      <c r="G637" s="544"/>
      <c r="H637" s="544"/>
      <c r="I637" s="543"/>
      <c r="J637" s="543"/>
      <c r="K637" s="544"/>
      <c r="L637" s="543"/>
      <c r="M637" s="544"/>
      <c r="N637" s="543"/>
      <c r="O637" s="544"/>
      <c r="P637" s="544"/>
      <c r="Q637" s="544"/>
      <c r="R637" s="544"/>
      <c r="S637" s="544"/>
    </row>
    <row r="638" ht="14.25" customHeight="1">
      <c r="A638" s="542"/>
      <c r="B638" s="543"/>
      <c r="C638" s="543"/>
      <c r="D638" s="544"/>
      <c r="E638" s="544"/>
      <c r="F638" s="544"/>
      <c r="G638" s="544"/>
      <c r="H638" s="544"/>
      <c r="I638" s="543"/>
      <c r="J638" s="543"/>
      <c r="K638" s="544"/>
      <c r="L638" s="543"/>
      <c r="M638" s="544"/>
      <c r="N638" s="543"/>
      <c r="O638" s="544"/>
      <c r="P638" s="544"/>
      <c r="Q638" s="544"/>
      <c r="R638" s="544"/>
      <c r="S638" s="544"/>
    </row>
    <row r="639" ht="14.25" customHeight="1">
      <c r="A639" s="542"/>
      <c r="B639" s="543"/>
      <c r="C639" s="543"/>
      <c r="D639" s="544"/>
      <c r="E639" s="544"/>
      <c r="F639" s="544"/>
      <c r="G639" s="544"/>
      <c r="H639" s="544"/>
      <c r="I639" s="543"/>
      <c r="J639" s="543"/>
      <c r="K639" s="544"/>
      <c r="L639" s="543"/>
      <c r="M639" s="544"/>
      <c r="N639" s="543"/>
      <c r="O639" s="544"/>
      <c r="P639" s="544"/>
      <c r="Q639" s="544"/>
      <c r="R639" s="544"/>
      <c r="S639" s="544"/>
    </row>
    <row r="640" ht="14.25" customHeight="1">
      <c r="A640" s="542"/>
      <c r="B640" s="543"/>
      <c r="C640" s="543"/>
      <c r="D640" s="544"/>
      <c r="E640" s="544"/>
      <c r="F640" s="544"/>
      <c r="G640" s="544"/>
      <c r="H640" s="544"/>
      <c r="I640" s="543"/>
      <c r="J640" s="543"/>
      <c r="K640" s="544"/>
      <c r="L640" s="543"/>
      <c r="M640" s="544"/>
      <c r="N640" s="543"/>
      <c r="O640" s="544"/>
      <c r="P640" s="544"/>
      <c r="Q640" s="544"/>
      <c r="R640" s="544"/>
      <c r="S640" s="544"/>
    </row>
    <row r="641" ht="14.25" customHeight="1">
      <c r="A641" s="542"/>
      <c r="B641" s="543"/>
      <c r="C641" s="543"/>
      <c r="D641" s="544"/>
      <c r="E641" s="544"/>
      <c r="F641" s="544"/>
      <c r="G641" s="544"/>
      <c r="H641" s="544"/>
      <c r="I641" s="543"/>
      <c r="J641" s="543"/>
      <c r="K641" s="544"/>
      <c r="L641" s="543"/>
      <c r="M641" s="544"/>
      <c r="N641" s="543"/>
      <c r="O641" s="544"/>
      <c r="P641" s="544"/>
      <c r="Q641" s="544"/>
      <c r="R641" s="544"/>
      <c r="S641" s="544"/>
    </row>
    <row r="642" ht="14.25" customHeight="1">
      <c r="A642" s="542"/>
      <c r="B642" s="543"/>
      <c r="C642" s="543"/>
      <c r="D642" s="544"/>
      <c r="E642" s="544"/>
      <c r="F642" s="544"/>
      <c r="G642" s="544"/>
      <c r="H642" s="544"/>
      <c r="I642" s="543"/>
      <c r="J642" s="543"/>
      <c r="K642" s="544"/>
      <c r="L642" s="543"/>
      <c r="M642" s="544"/>
      <c r="N642" s="543"/>
      <c r="O642" s="544"/>
      <c r="P642" s="544"/>
      <c r="Q642" s="544"/>
      <c r="R642" s="544"/>
      <c r="S642" s="544"/>
    </row>
    <row r="643" ht="14.25" customHeight="1">
      <c r="A643" s="542"/>
      <c r="B643" s="543"/>
      <c r="C643" s="543"/>
      <c r="D643" s="544"/>
      <c r="E643" s="544"/>
      <c r="F643" s="544"/>
      <c r="G643" s="544"/>
      <c r="H643" s="544"/>
      <c r="I643" s="543"/>
      <c r="J643" s="543"/>
      <c r="K643" s="544"/>
      <c r="L643" s="543"/>
      <c r="M643" s="544"/>
      <c r="N643" s="543"/>
      <c r="O643" s="544"/>
      <c r="P643" s="544"/>
      <c r="Q643" s="544"/>
      <c r="R643" s="544"/>
      <c r="S643" s="544"/>
    </row>
    <row r="644" ht="14.25" customHeight="1">
      <c r="A644" s="542"/>
      <c r="B644" s="543"/>
      <c r="C644" s="543"/>
      <c r="D644" s="544"/>
      <c r="E644" s="544"/>
      <c r="F644" s="544"/>
      <c r="G644" s="544"/>
      <c r="H644" s="544"/>
      <c r="I644" s="543"/>
      <c r="J644" s="543"/>
      <c r="K644" s="544"/>
      <c r="L644" s="543"/>
      <c r="M644" s="544"/>
      <c r="N644" s="543"/>
      <c r="O644" s="544"/>
      <c r="P644" s="544"/>
      <c r="Q644" s="544"/>
      <c r="R644" s="544"/>
      <c r="S644" s="544"/>
    </row>
    <row r="645" ht="14.25" customHeight="1">
      <c r="A645" s="542"/>
      <c r="B645" s="543"/>
      <c r="C645" s="543"/>
      <c r="D645" s="544"/>
      <c r="E645" s="544"/>
      <c r="F645" s="544"/>
      <c r="G645" s="544"/>
      <c r="H645" s="544"/>
      <c r="I645" s="543"/>
      <c r="J645" s="543"/>
      <c r="K645" s="544"/>
      <c r="L645" s="543"/>
      <c r="M645" s="544"/>
      <c r="N645" s="543"/>
      <c r="O645" s="544"/>
      <c r="P645" s="544"/>
      <c r="Q645" s="544"/>
      <c r="R645" s="544"/>
      <c r="S645" s="544"/>
    </row>
    <row r="646" ht="14.25" customHeight="1">
      <c r="A646" s="542"/>
      <c r="B646" s="543"/>
      <c r="C646" s="543"/>
      <c r="D646" s="544"/>
      <c r="E646" s="544"/>
      <c r="F646" s="544"/>
      <c r="G646" s="544"/>
      <c r="H646" s="544"/>
      <c r="I646" s="543"/>
      <c r="J646" s="543"/>
      <c r="K646" s="544"/>
      <c r="L646" s="543"/>
      <c r="M646" s="544"/>
      <c r="N646" s="543"/>
      <c r="O646" s="544"/>
      <c r="P646" s="544"/>
      <c r="Q646" s="544"/>
      <c r="R646" s="544"/>
      <c r="S646" s="544"/>
    </row>
    <row r="647" ht="14.25" customHeight="1">
      <c r="A647" s="542"/>
      <c r="B647" s="543"/>
      <c r="C647" s="543"/>
      <c r="D647" s="544"/>
      <c r="E647" s="544"/>
      <c r="F647" s="544"/>
      <c r="G647" s="544"/>
      <c r="H647" s="544"/>
      <c r="I647" s="543"/>
      <c r="J647" s="543"/>
      <c r="K647" s="544"/>
      <c r="L647" s="543"/>
      <c r="M647" s="544"/>
      <c r="N647" s="543"/>
      <c r="O647" s="544"/>
      <c r="P647" s="544"/>
      <c r="Q647" s="544"/>
      <c r="R647" s="544"/>
      <c r="S647" s="544"/>
    </row>
    <row r="648" ht="14.25" customHeight="1">
      <c r="A648" s="542"/>
      <c r="B648" s="543"/>
      <c r="C648" s="543"/>
      <c r="D648" s="544"/>
      <c r="E648" s="544"/>
      <c r="F648" s="544"/>
      <c r="G648" s="544"/>
      <c r="H648" s="544"/>
      <c r="I648" s="543"/>
      <c r="J648" s="543"/>
      <c r="K648" s="544"/>
      <c r="L648" s="543"/>
      <c r="M648" s="544"/>
      <c r="N648" s="543"/>
      <c r="O648" s="544"/>
      <c r="P648" s="544"/>
      <c r="Q648" s="544"/>
      <c r="R648" s="544"/>
      <c r="S648" s="544"/>
    </row>
    <row r="649" ht="14.25" customHeight="1">
      <c r="A649" s="542"/>
      <c r="B649" s="543"/>
      <c r="C649" s="543"/>
      <c r="D649" s="544"/>
      <c r="E649" s="544"/>
      <c r="F649" s="544"/>
      <c r="G649" s="544"/>
      <c r="H649" s="544"/>
      <c r="I649" s="543"/>
      <c r="J649" s="543"/>
      <c r="K649" s="544"/>
      <c r="L649" s="543"/>
      <c r="M649" s="544"/>
      <c r="N649" s="543"/>
      <c r="O649" s="544"/>
      <c r="P649" s="544"/>
      <c r="Q649" s="544"/>
      <c r="R649" s="544"/>
      <c r="S649" s="544"/>
    </row>
    <row r="650" ht="14.25" customHeight="1">
      <c r="A650" s="542"/>
      <c r="B650" s="543"/>
      <c r="C650" s="543"/>
      <c r="D650" s="544"/>
      <c r="E650" s="544"/>
      <c r="F650" s="544"/>
      <c r="G650" s="544"/>
      <c r="H650" s="544"/>
      <c r="I650" s="543"/>
      <c r="J650" s="543"/>
      <c r="K650" s="544"/>
      <c r="L650" s="543"/>
      <c r="M650" s="544"/>
      <c r="N650" s="543"/>
      <c r="O650" s="544"/>
      <c r="P650" s="544"/>
      <c r="Q650" s="544"/>
      <c r="R650" s="544"/>
      <c r="S650" s="544"/>
    </row>
    <row r="651" ht="14.25" customHeight="1">
      <c r="A651" s="542"/>
      <c r="B651" s="543"/>
      <c r="C651" s="543"/>
      <c r="D651" s="544"/>
      <c r="E651" s="544"/>
      <c r="F651" s="544"/>
      <c r="G651" s="544"/>
      <c r="H651" s="544"/>
      <c r="I651" s="543"/>
      <c r="J651" s="543"/>
      <c r="K651" s="544"/>
      <c r="L651" s="543"/>
      <c r="M651" s="544"/>
      <c r="N651" s="543"/>
      <c r="O651" s="544"/>
      <c r="P651" s="544"/>
      <c r="Q651" s="544"/>
      <c r="R651" s="544"/>
      <c r="S651" s="544"/>
    </row>
    <row r="652" ht="14.25" customHeight="1">
      <c r="A652" s="542"/>
      <c r="B652" s="543"/>
      <c r="C652" s="543"/>
      <c r="D652" s="544"/>
      <c r="E652" s="544"/>
      <c r="F652" s="544"/>
      <c r="G652" s="544"/>
      <c r="H652" s="544"/>
      <c r="I652" s="543"/>
      <c r="J652" s="543"/>
      <c r="K652" s="544"/>
      <c r="L652" s="543"/>
      <c r="M652" s="544"/>
      <c r="N652" s="543"/>
      <c r="O652" s="544"/>
      <c r="P652" s="544"/>
      <c r="Q652" s="544"/>
      <c r="R652" s="544"/>
      <c r="S652" s="544"/>
    </row>
    <row r="653" ht="14.25" customHeight="1">
      <c r="A653" s="542"/>
      <c r="B653" s="543"/>
      <c r="C653" s="543"/>
      <c r="D653" s="544"/>
      <c r="E653" s="544"/>
      <c r="F653" s="544"/>
      <c r="G653" s="544"/>
      <c r="H653" s="544"/>
      <c r="I653" s="543"/>
      <c r="J653" s="543"/>
      <c r="K653" s="544"/>
      <c r="L653" s="543"/>
      <c r="M653" s="544"/>
      <c r="N653" s="543"/>
      <c r="O653" s="544"/>
      <c r="P653" s="544"/>
      <c r="Q653" s="544"/>
      <c r="R653" s="544"/>
      <c r="S653" s="544"/>
    </row>
    <row r="654" ht="14.25" customHeight="1">
      <c r="A654" s="542"/>
      <c r="B654" s="543"/>
      <c r="C654" s="543"/>
      <c r="D654" s="544"/>
      <c r="E654" s="544"/>
      <c r="F654" s="544"/>
      <c r="G654" s="544"/>
      <c r="H654" s="544"/>
      <c r="I654" s="543"/>
      <c r="J654" s="543"/>
      <c r="K654" s="544"/>
      <c r="L654" s="543"/>
      <c r="M654" s="544"/>
      <c r="N654" s="543"/>
      <c r="O654" s="544"/>
      <c r="P654" s="544"/>
      <c r="Q654" s="544"/>
      <c r="R654" s="544"/>
      <c r="S654" s="544"/>
    </row>
    <row r="655" ht="14.25" customHeight="1">
      <c r="A655" s="542"/>
      <c r="B655" s="543"/>
      <c r="C655" s="543"/>
      <c r="D655" s="544"/>
      <c r="E655" s="544"/>
      <c r="F655" s="544"/>
      <c r="G655" s="544"/>
      <c r="H655" s="544"/>
      <c r="I655" s="543"/>
      <c r="J655" s="543"/>
      <c r="K655" s="544"/>
      <c r="L655" s="543"/>
      <c r="M655" s="544"/>
      <c r="N655" s="543"/>
      <c r="O655" s="544"/>
      <c r="P655" s="544"/>
      <c r="Q655" s="544"/>
      <c r="R655" s="544"/>
      <c r="S655" s="544"/>
    </row>
    <row r="656" ht="14.25" customHeight="1">
      <c r="A656" s="542"/>
      <c r="B656" s="543"/>
      <c r="C656" s="543"/>
      <c r="D656" s="544"/>
      <c r="E656" s="544"/>
      <c r="F656" s="544"/>
      <c r="G656" s="544"/>
      <c r="H656" s="544"/>
      <c r="I656" s="543"/>
      <c r="J656" s="543"/>
      <c r="K656" s="544"/>
      <c r="L656" s="543"/>
      <c r="M656" s="544"/>
      <c r="N656" s="543"/>
      <c r="O656" s="544"/>
      <c r="P656" s="544"/>
      <c r="Q656" s="544"/>
      <c r="R656" s="544"/>
      <c r="S656" s="544"/>
    </row>
    <row r="657" ht="14.25" customHeight="1">
      <c r="A657" s="542"/>
      <c r="B657" s="543"/>
      <c r="C657" s="543"/>
      <c r="D657" s="544"/>
      <c r="E657" s="544"/>
      <c r="F657" s="544"/>
      <c r="G657" s="544"/>
      <c r="H657" s="544"/>
      <c r="I657" s="543"/>
      <c r="J657" s="543"/>
      <c r="K657" s="544"/>
      <c r="L657" s="543"/>
      <c r="M657" s="544"/>
      <c r="N657" s="543"/>
      <c r="O657" s="544"/>
      <c r="P657" s="544"/>
      <c r="Q657" s="544"/>
      <c r="R657" s="544"/>
      <c r="S657" s="544"/>
    </row>
    <row r="658" ht="14.25" customHeight="1">
      <c r="A658" s="542"/>
      <c r="B658" s="543"/>
      <c r="C658" s="543"/>
      <c r="D658" s="544"/>
      <c r="E658" s="544"/>
      <c r="F658" s="544"/>
      <c r="G658" s="544"/>
      <c r="H658" s="544"/>
      <c r="I658" s="543"/>
      <c r="J658" s="543"/>
      <c r="K658" s="544"/>
      <c r="L658" s="543"/>
      <c r="M658" s="544"/>
      <c r="N658" s="543"/>
      <c r="O658" s="544"/>
      <c r="P658" s="544"/>
      <c r="Q658" s="544"/>
      <c r="R658" s="544"/>
      <c r="S658" s="544"/>
    </row>
    <row r="659" ht="14.25" customHeight="1">
      <c r="A659" s="542"/>
      <c r="B659" s="543"/>
      <c r="C659" s="543"/>
      <c r="D659" s="544"/>
      <c r="E659" s="544"/>
      <c r="F659" s="544"/>
      <c r="G659" s="544"/>
      <c r="H659" s="544"/>
      <c r="I659" s="543"/>
      <c r="J659" s="543"/>
      <c r="K659" s="544"/>
      <c r="L659" s="543"/>
      <c r="M659" s="544"/>
      <c r="N659" s="543"/>
      <c r="O659" s="544"/>
      <c r="P659" s="544"/>
      <c r="Q659" s="544"/>
      <c r="R659" s="544"/>
      <c r="S659" s="544"/>
    </row>
    <row r="660" ht="14.25" customHeight="1">
      <c r="A660" s="542"/>
      <c r="B660" s="543"/>
      <c r="C660" s="543"/>
      <c r="D660" s="544"/>
      <c r="E660" s="544"/>
      <c r="F660" s="544"/>
      <c r="G660" s="544"/>
      <c r="H660" s="544"/>
      <c r="I660" s="543"/>
      <c r="J660" s="543"/>
      <c r="K660" s="544"/>
      <c r="L660" s="543"/>
      <c r="M660" s="544"/>
      <c r="N660" s="543"/>
      <c r="O660" s="544"/>
      <c r="P660" s="544"/>
      <c r="Q660" s="544"/>
      <c r="R660" s="544"/>
      <c r="S660" s="544"/>
    </row>
    <row r="661" ht="14.25" customHeight="1">
      <c r="A661" s="542"/>
      <c r="B661" s="543"/>
      <c r="C661" s="543"/>
      <c r="D661" s="544"/>
      <c r="E661" s="544"/>
      <c r="F661" s="544"/>
      <c r="G661" s="544"/>
      <c r="H661" s="544"/>
      <c r="I661" s="543"/>
      <c r="J661" s="543"/>
      <c r="K661" s="544"/>
      <c r="L661" s="543"/>
      <c r="M661" s="544"/>
      <c r="N661" s="543"/>
      <c r="O661" s="544"/>
      <c r="P661" s="544"/>
      <c r="Q661" s="544"/>
      <c r="R661" s="544"/>
      <c r="S661" s="544"/>
    </row>
    <row r="662" ht="14.25" customHeight="1">
      <c r="A662" s="542"/>
      <c r="B662" s="543"/>
      <c r="C662" s="543"/>
      <c r="D662" s="544"/>
      <c r="E662" s="544"/>
      <c r="F662" s="544"/>
      <c r="G662" s="544"/>
      <c r="H662" s="544"/>
      <c r="I662" s="543"/>
      <c r="J662" s="543"/>
      <c r="K662" s="544"/>
      <c r="L662" s="543"/>
      <c r="M662" s="544"/>
      <c r="N662" s="543"/>
      <c r="O662" s="544"/>
      <c r="P662" s="544"/>
      <c r="Q662" s="544"/>
      <c r="R662" s="544"/>
      <c r="S662" s="544"/>
    </row>
    <row r="663" ht="14.25" customHeight="1">
      <c r="A663" s="542"/>
      <c r="B663" s="543"/>
      <c r="C663" s="543"/>
      <c r="D663" s="544"/>
      <c r="E663" s="544"/>
      <c r="F663" s="544"/>
      <c r="G663" s="544"/>
      <c r="H663" s="544"/>
      <c r="I663" s="543"/>
      <c r="J663" s="543"/>
      <c r="K663" s="544"/>
      <c r="L663" s="543"/>
      <c r="M663" s="544"/>
      <c r="N663" s="543"/>
      <c r="O663" s="544"/>
      <c r="P663" s="544"/>
      <c r="Q663" s="544"/>
      <c r="R663" s="544"/>
      <c r="S663" s="544"/>
    </row>
    <row r="664" ht="14.25" customHeight="1">
      <c r="A664" s="542"/>
      <c r="B664" s="543"/>
      <c r="C664" s="543"/>
      <c r="D664" s="544"/>
      <c r="E664" s="544"/>
      <c r="F664" s="544"/>
      <c r="G664" s="544"/>
      <c r="H664" s="544"/>
      <c r="I664" s="543"/>
      <c r="J664" s="543"/>
      <c r="K664" s="544"/>
      <c r="L664" s="543"/>
      <c r="M664" s="544"/>
      <c r="N664" s="543"/>
      <c r="O664" s="544"/>
      <c r="P664" s="544"/>
      <c r="Q664" s="544"/>
      <c r="R664" s="544"/>
      <c r="S664" s="544"/>
    </row>
    <row r="665" ht="14.25" customHeight="1">
      <c r="A665" s="542"/>
      <c r="B665" s="543"/>
      <c r="C665" s="543"/>
      <c r="D665" s="544"/>
      <c r="E665" s="544"/>
      <c r="F665" s="544"/>
      <c r="G665" s="544"/>
      <c r="H665" s="544"/>
      <c r="I665" s="543"/>
      <c r="J665" s="543"/>
      <c r="K665" s="544"/>
      <c r="L665" s="543"/>
      <c r="M665" s="544"/>
      <c r="N665" s="543"/>
      <c r="O665" s="544"/>
      <c r="P665" s="544"/>
      <c r="Q665" s="544"/>
      <c r="R665" s="544"/>
      <c r="S665" s="544"/>
    </row>
    <row r="666" ht="14.25" customHeight="1">
      <c r="A666" s="542"/>
      <c r="B666" s="543"/>
      <c r="C666" s="543"/>
      <c r="D666" s="544"/>
      <c r="E666" s="544"/>
      <c r="F666" s="544"/>
      <c r="G666" s="544"/>
      <c r="H666" s="544"/>
      <c r="I666" s="543"/>
      <c r="J666" s="543"/>
      <c r="K666" s="544"/>
      <c r="L666" s="543"/>
      <c r="M666" s="544"/>
      <c r="N666" s="543"/>
      <c r="O666" s="544"/>
      <c r="P666" s="544"/>
      <c r="Q666" s="544"/>
      <c r="R666" s="544"/>
      <c r="S666" s="544"/>
    </row>
    <row r="667" ht="14.25" customHeight="1">
      <c r="A667" s="542"/>
      <c r="B667" s="543"/>
      <c r="C667" s="543"/>
      <c r="D667" s="544"/>
      <c r="E667" s="544"/>
      <c r="F667" s="544"/>
      <c r="G667" s="544"/>
      <c r="H667" s="544"/>
      <c r="I667" s="543"/>
      <c r="J667" s="543"/>
      <c r="K667" s="544"/>
      <c r="L667" s="543"/>
      <c r="M667" s="544"/>
      <c r="N667" s="543"/>
      <c r="O667" s="544"/>
      <c r="P667" s="544"/>
      <c r="Q667" s="544"/>
      <c r="R667" s="544"/>
      <c r="S667" s="544"/>
    </row>
    <row r="668" ht="14.25" customHeight="1">
      <c r="A668" s="542"/>
      <c r="B668" s="543"/>
      <c r="C668" s="543"/>
      <c r="D668" s="544"/>
      <c r="E668" s="544"/>
      <c r="F668" s="544"/>
      <c r="G668" s="544"/>
      <c r="H668" s="544"/>
      <c r="I668" s="543"/>
      <c r="J668" s="543"/>
      <c r="K668" s="544"/>
      <c r="L668" s="543"/>
      <c r="M668" s="544"/>
      <c r="N668" s="543"/>
      <c r="O668" s="544"/>
      <c r="P668" s="544"/>
      <c r="Q668" s="544"/>
      <c r="R668" s="544"/>
      <c r="S668" s="544"/>
    </row>
    <row r="669" ht="14.25" customHeight="1">
      <c r="A669" s="542"/>
      <c r="B669" s="543"/>
      <c r="C669" s="543"/>
      <c r="D669" s="544"/>
      <c r="E669" s="544"/>
      <c r="F669" s="544"/>
      <c r="G669" s="544"/>
      <c r="H669" s="544"/>
      <c r="I669" s="543"/>
      <c r="J669" s="543"/>
      <c r="K669" s="544"/>
      <c r="L669" s="543"/>
      <c r="M669" s="544"/>
      <c r="N669" s="543"/>
      <c r="O669" s="544"/>
      <c r="P669" s="544"/>
      <c r="Q669" s="544"/>
      <c r="R669" s="544"/>
      <c r="S669" s="544"/>
    </row>
    <row r="670" ht="14.25" customHeight="1">
      <c r="A670" s="542"/>
      <c r="B670" s="543"/>
      <c r="C670" s="543"/>
      <c r="D670" s="544"/>
      <c r="E670" s="544"/>
      <c r="F670" s="544"/>
      <c r="G670" s="544"/>
      <c r="H670" s="544"/>
      <c r="I670" s="543"/>
      <c r="J670" s="543"/>
      <c r="K670" s="544"/>
      <c r="L670" s="543"/>
      <c r="M670" s="544"/>
      <c r="N670" s="543"/>
      <c r="O670" s="544"/>
      <c r="P670" s="544"/>
      <c r="Q670" s="544"/>
      <c r="R670" s="544"/>
      <c r="S670" s="544"/>
    </row>
    <row r="671" ht="14.25" customHeight="1">
      <c r="A671" s="542"/>
      <c r="B671" s="543"/>
      <c r="C671" s="543"/>
      <c r="D671" s="544"/>
      <c r="E671" s="544"/>
      <c r="F671" s="544"/>
      <c r="G671" s="544"/>
      <c r="H671" s="544"/>
      <c r="I671" s="543"/>
      <c r="J671" s="543"/>
      <c r="K671" s="544"/>
      <c r="L671" s="543"/>
      <c r="M671" s="544"/>
      <c r="N671" s="543"/>
      <c r="O671" s="544"/>
      <c r="P671" s="544"/>
      <c r="Q671" s="544"/>
      <c r="R671" s="544"/>
      <c r="S671" s="544"/>
    </row>
    <row r="672" ht="14.25" customHeight="1">
      <c r="A672" s="542"/>
      <c r="B672" s="543"/>
      <c r="C672" s="543"/>
      <c r="D672" s="544"/>
      <c r="E672" s="544"/>
      <c r="F672" s="544"/>
      <c r="G672" s="544"/>
      <c r="H672" s="544"/>
      <c r="I672" s="543"/>
      <c r="J672" s="543"/>
      <c r="K672" s="544"/>
      <c r="L672" s="543"/>
      <c r="M672" s="544"/>
      <c r="N672" s="543"/>
      <c r="O672" s="544"/>
      <c r="P672" s="544"/>
      <c r="Q672" s="544"/>
      <c r="R672" s="544"/>
      <c r="S672" s="544"/>
    </row>
    <row r="673" ht="14.25" customHeight="1">
      <c r="A673" s="542"/>
      <c r="B673" s="543"/>
      <c r="C673" s="543"/>
      <c r="D673" s="544"/>
      <c r="E673" s="544"/>
      <c r="F673" s="544"/>
      <c r="G673" s="544"/>
      <c r="H673" s="544"/>
      <c r="I673" s="543"/>
      <c r="J673" s="543"/>
      <c r="K673" s="544"/>
      <c r="L673" s="543"/>
      <c r="M673" s="544"/>
      <c r="N673" s="543"/>
      <c r="O673" s="544"/>
      <c r="P673" s="544"/>
      <c r="Q673" s="544"/>
      <c r="R673" s="544"/>
      <c r="S673" s="544"/>
    </row>
    <row r="674" ht="14.25" customHeight="1">
      <c r="A674" s="542"/>
      <c r="B674" s="543"/>
      <c r="C674" s="543"/>
      <c r="D674" s="544"/>
      <c r="E674" s="544"/>
      <c r="F674" s="544"/>
      <c r="G674" s="544"/>
      <c r="H674" s="544"/>
      <c r="I674" s="543"/>
      <c r="J674" s="543"/>
      <c r="K674" s="544"/>
      <c r="L674" s="543"/>
      <c r="M674" s="544"/>
      <c r="N674" s="543"/>
      <c r="O674" s="544"/>
      <c r="P674" s="544"/>
      <c r="Q674" s="544"/>
      <c r="R674" s="544"/>
      <c r="S674" s="544"/>
    </row>
    <row r="675" ht="14.25" customHeight="1">
      <c r="A675" s="542"/>
      <c r="B675" s="543"/>
      <c r="C675" s="543"/>
      <c r="D675" s="544"/>
      <c r="E675" s="544"/>
      <c r="F675" s="544"/>
      <c r="G675" s="544"/>
      <c r="H675" s="544"/>
      <c r="I675" s="543"/>
      <c r="J675" s="543"/>
      <c r="K675" s="544"/>
      <c r="L675" s="543"/>
      <c r="M675" s="544"/>
      <c r="N675" s="543"/>
      <c r="O675" s="544"/>
      <c r="P675" s="544"/>
      <c r="Q675" s="544"/>
      <c r="R675" s="544"/>
      <c r="S675" s="544"/>
    </row>
    <row r="676" ht="14.25" customHeight="1">
      <c r="A676" s="542"/>
      <c r="B676" s="543"/>
      <c r="C676" s="543"/>
      <c r="D676" s="544"/>
      <c r="E676" s="544"/>
      <c r="F676" s="544"/>
      <c r="G676" s="544"/>
      <c r="H676" s="544"/>
      <c r="I676" s="543"/>
      <c r="J676" s="543"/>
      <c r="K676" s="544"/>
      <c r="L676" s="543"/>
      <c r="M676" s="544"/>
      <c r="N676" s="543"/>
      <c r="O676" s="544"/>
      <c r="P676" s="544"/>
      <c r="Q676" s="544"/>
      <c r="R676" s="544"/>
      <c r="S676" s="544"/>
    </row>
    <row r="677" ht="14.25" customHeight="1">
      <c r="A677" s="542"/>
      <c r="B677" s="543"/>
      <c r="C677" s="543"/>
      <c r="D677" s="544"/>
      <c r="E677" s="544"/>
      <c r="F677" s="544"/>
      <c r="G677" s="544"/>
      <c r="H677" s="544"/>
      <c r="I677" s="543"/>
      <c r="J677" s="543"/>
      <c r="K677" s="544"/>
      <c r="L677" s="543"/>
      <c r="M677" s="544"/>
      <c r="N677" s="543"/>
      <c r="O677" s="544"/>
      <c r="P677" s="544"/>
      <c r="Q677" s="544"/>
      <c r="R677" s="544"/>
      <c r="S677" s="544"/>
    </row>
    <row r="678" ht="14.25" customHeight="1">
      <c r="A678" s="542"/>
      <c r="B678" s="543"/>
      <c r="C678" s="543"/>
      <c r="D678" s="544"/>
      <c r="E678" s="544"/>
      <c r="F678" s="544"/>
      <c r="G678" s="544"/>
      <c r="H678" s="544"/>
      <c r="I678" s="543"/>
      <c r="J678" s="543"/>
      <c r="K678" s="544"/>
      <c r="L678" s="543"/>
      <c r="M678" s="544"/>
      <c r="N678" s="543"/>
      <c r="O678" s="544"/>
      <c r="P678" s="544"/>
      <c r="Q678" s="544"/>
      <c r="R678" s="544"/>
      <c r="S678" s="544"/>
    </row>
    <row r="679" ht="14.25" customHeight="1">
      <c r="A679" s="542"/>
      <c r="B679" s="543"/>
      <c r="C679" s="543"/>
      <c r="D679" s="544"/>
      <c r="E679" s="544"/>
      <c r="F679" s="544"/>
      <c r="G679" s="544"/>
      <c r="H679" s="544"/>
      <c r="I679" s="543"/>
      <c r="J679" s="543"/>
      <c r="K679" s="544"/>
      <c r="L679" s="543"/>
      <c r="M679" s="544"/>
      <c r="N679" s="543"/>
      <c r="O679" s="544"/>
      <c r="P679" s="544"/>
      <c r="Q679" s="544"/>
      <c r="R679" s="544"/>
      <c r="S679" s="544"/>
    </row>
    <row r="680" ht="14.25" customHeight="1">
      <c r="A680" s="542"/>
      <c r="B680" s="543"/>
      <c r="C680" s="543"/>
      <c r="D680" s="544"/>
      <c r="E680" s="544"/>
      <c r="F680" s="544"/>
      <c r="G680" s="544"/>
      <c r="H680" s="544"/>
      <c r="I680" s="543"/>
      <c r="J680" s="543"/>
      <c r="K680" s="544"/>
      <c r="L680" s="543"/>
      <c r="M680" s="544"/>
      <c r="N680" s="543"/>
      <c r="O680" s="544"/>
      <c r="P680" s="544"/>
      <c r="Q680" s="544"/>
      <c r="R680" s="544"/>
      <c r="S680" s="544"/>
    </row>
    <row r="681" ht="14.25" customHeight="1">
      <c r="A681" s="542"/>
      <c r="B681" s="543"/>
      <c r="C681" s="543"/>
      <c r="D681" s="544"/>
      <c r="E681" s="544"/>
      <c r="F681" s="544"/>
      <c r="G681" s="544"/>
      <c r="H681" s="544"/>
      <c r="I681" s="543"/>
      <c r="J681" s="543"/>
      <c r="K681" s="544"/>
      <c r="L681" s="543"/>
      <c r="M681" s="544"/>
      <c r="N681" s="543"/>
      <c r="O681" s="544"/>
      <c r="P681" s="544"/>
      <c r="Q681" s="544"/>
      <c r="R681" s="544"/>
      <c r="S681" s="544"/>
    </row>
    <row r="682" ht="14.25" customHeight="1">
      <c r="A682" s="542"/>
      <c r="B682" s="543"/>
      <c r="C682" s="543"/>
      <c r="D682" s="544"/>
      <c r="E682" s="544"/>
      <c r="F682" s="544"/>
      <c r="G682" s="544"/>
      <c r="H682" s="544"/>
      <c r="I682" s="543"/>
      <c r="J682" s="543"/>
      <c r="K682" s="544"/>
      <c r="L682" s="543"/>
      <c r="M682" s="544"/>
      <c r="N682" s="543"/>
      <c r="O682" s="544"/>
      <c r="P682" s="544"/>
      <c r="Q682" s="544"/>
      <c r="R682" s="544"/>
      <c r="S682" s="544"/>
    </row>
    <row r="683" ht="14.25" customHeight="1">
      <c r="A683" s="542"/>
      <c r="B683" s="543"/>
      <c r="C683" s="543"/>
      <c r="D683" s="544"/>
      <c r="E683" s="544"/>
      <c r="F683" s="544"/>
      <c r="G683" s="544"/>
      <c r="H683" s="544"/>
      <c r="I683" s="543"/>
      <c r="J683" s="543"/>
      <c r="K683" s="544"/>
      <c r="L683" s="543"/>
      <c r="M683" s="544"/>
      <c r="N683" s="543"/>
      <c r="O683" s="544"/>
      <c r="P683" s="544"/>
      <c r="Q683" s="544"/>
      <c r="R683" s="544"/>
      <c r="S683" s="544"/>
    </row>
    <row r="684" ht="14.25" customHeight="1">
      <c r="A684" s="542"/>
      <c r="B684" s="543"/>
      <c r="C684" s="543"/>
      <c r="D684" s="544"/>
      <c r="E684" s="544"/>
      <c r="F684" s="544"/>
      <c r="G684" s="544"/>
      <c r="H684" s="544"/>
      <c r="I684" s="543"/>
      <c r="J684" s="543"/>
      <c r="K684" s="544"/>
      <c r="L684" s="543"/>
      <c r="M684" s="544"/>
      <c r="N684" s="543"/>
      <c r="O684" s="544"/>
      <c r="P684" s="544"/>
      <c r="Q684" s="544"/>
      <c r="R684" s="544"/>
      <c r="S684" s="544"/>
    </row>
    <row r="685" ht="14.25" customHeight="1">
      <c r="A685" s="542"/>
      <c r="B685" s="543"/>
      <c r="C685" s="543"/>
      <c r="D685" s="544"/>
      <c r="E685" s="544"/>
      <c r="F685" s="544"/>
      <c r="G685" s="544"/>
      <c r="H685" s="544"/>
      <c r="I685" s="543"/>
      <c r="J685" s="543"/>
      <c r="K685" s="544"/>
      <c r="L685" s="543"/>
      <c r="M685" s="544"/>
      <c r="N685" s="543"/>
      <c r="O685" s="544"/>
      <c r="P685" s="544"/>
      <c r="Q685" s="544"/>
      <c r="R685" s="544"/>
      <c r="S685" s="544"/>
    </row>
    <row r="686" ht="14.25" customHeight="1">
      <c r="A686" s="542"/>
      <c r="B686" s="543"/>
      <c r="C686" s="543"/>
      <c r="D686" s="544"/>
      <c r="E686" s="544"/>
      <c r="F686" s="544"/>
      <c r="G686" s="544"/>
      <c r="H686" s="544"/>
      <c r="I686" s="543"/>
      <c r="J686" s="543"/>
      <c r="K686" s="544"/>
      <c r="L686" s="543"/>
      <c r="M686" s="544"/>
      <c r="N686" s="543"/>
      <c r="O686" s="544"/>
      <c r="P686" s="544"/>
      <c r="Q686" s="544"/>
      <c r="R686" s="544"/>
      <c r="S686" s="544"/>
    </row>
    <row r="687" ht="14.25" customHeight="1">
      <c r="A687" s="542"/>
      <c r="B687" s="543"/>
      <c r="C687" s="543"/>
      <c r="D687" s="544"/>
      <c r="E687" s="544"/>
      <c r="F687" s="544"/>
      <c r="G687" s="544"/>
      <c r="H687" s="544"/>
      <c r="I687" s="543"/>
      <c r="J687" s="543"/>
      <c r="K687" s="544"/>
      <c r="L687" s="543"/>
      <c r="M687" s="544"/>
      <c r="N687" s="543"/>
      <c r="O687" s="544"/>
      <c r="P687" s="544"/>
      <c r="Q687" s="544"/>
      <c r="R687" s="544"/>
      <c r="S687" s="544"/>
    </row>
    <row r="688" ht="14.25" customHeight="1">
      <c r="A688" s="542"/>
      <c r="B688" s="543"/>
      <c r="C688" s="543"/>
      <c r="D688" s="544"/>
      <c r="E688" s="544"/>
      <c r="F688" s="544"/>
      <c r="G688" s="544"/>
      <c r="H688" s="544"/>
      <c r="I688" s="543"/>
      <c r="J688" s="543"/>
      <c r="K688" s="544"/>
      <c r="L688" s="543"/>
      <c r="M688" s="544"/>
      <c r="N688" s="543"/>
      <c r="O688" s="544"/>
      <c r="P688" s="544"/>
      <c r="Q688" s="544"/>
      <c r="R688" s="544"/>
      <c r="S688" s="544"/>
    </row>
    <row r="689" ht="14.25" customHeight="1">
      <c r="A689" s="542"/>
      <c r="B689" s="543"/>
      <c r="C689" s="543"/>
      <c r="D689" s="544"/>
      <c r="E689" s="544"/>
      <c r="F689" s="544"/>
      <c r="G689" s="544"/>
      <c r="H689" s="544"/>
      <c r="I689" s="543"/>
      <c r="J689" s="543"/>
      <c r="K689" s="544"/>
      <c r="L689" s="543"/>
      <c r="M689" s="544"/>
      <c r="N689" s="543"/>
      <c r="O689" s="544"/>
      <c r="P689" s="544"/>
      <c r="Q689" s="544"/>
      <c r="R689" s="544"/>
      <c r="S689" s="544"/>
    </row>
    <row r="690" ht="14.25" customHeight="1">
      <c r="A690" s="542"/>
      <c r="B690" s="543"/>
      <c r="C690" s="543"/>
      <c r="D690" s="544"/>
      <c r="E690" s="544"/>
      <c r="F690" s="544"/>
      <c r="G690" s="544"/>
      <c r="H690" s="544"/>
      <c r="I690" s="543"/>
      <c r="J690" s="543"/>
      <c r="K690" s="544"/>
      <c r="L690" s="543"/>
      <c r="M690" s="544"/>
      <c r="N690" s="543"/>
      <c r="O690" s="544"/>
      <c r="P690" s="544"/>
      <c r="Q690" s="544"/>
      <c r="R690" s="544"/>
      <c r="S690" s="544"/>
    </row>
    <row r="691" ht="14.25" customHeight="1">
      <c r="A691" s="542"/>
      <c r="B691" s="543"/>
      <c r="C691" s="543"/>
      <c r="D691" s="544"/>
      <c r="E691" s="544"/>
      <c r="F691" s="544"/>
      <c r="G691" s="544"/>
      <c r="H691" s="544"/>
      <c r="I691" s="543"/>
      <c r="J691" s="543"/>
      <c r="K691" s="544"/>
      <c r="L691" s="543"/>
      <c r="M691" s="544"/>
      <c r="N691" s="543"/>
      <c r="O691" s="544"/>
      <c r="P691" s="544"/>
      <c r="Q691" s="544"/>
      <c r="R691" s="544"/>
      <c r="S691" s="544"/>
    </row>
    <row r="692" ht="14.25" customHeight="1">
      <c r="A692" s="542"/>
      <c r="B692" s="543"/>
      <c r="C692" s="543"/>
      <c r="D692" s="544"/>
      <c r="E692" s="544"/>
      <c r="F692" s="544"/>
      <c r="G692" s="544"/>
      <c r="H692" s="544"/>
      <c r="I692" s="543"/>
      <c r="J692" s="543"/>
      <c r="K692" s="544"/>
      <c r="L692" s="543"/>
      <c r="M692" s="544"/>
      <c r="N692" s="543"/>
      <c r="O692" s="544"/>
      <c r="P692" s="544"/>
      <c r="Q692" s="544"/>
      <c r="R692" s="544"/>
      <c r="S692" s="544"/>
    </row>
    <row r="693" ht="14.25" customHeight="1">
      <c r="A693" s="542"/>
      <c r="B693" s="543"/>
      <c r="C693" s="543"/>
      <c r="D693" s="544"/>
      <c r="E693" s="544"/>
      <c r="F693" s="544"/>
      <c r="G693" s="544"/>
      <c r="H693" s="544"/>
      <c r="I693" s="543"/>
      <c r="J693" s="543"/>
      <c r="K693" s="544"/>
      <c r="L693" s="543"/>
      <c r="M693" s="544"/>
      <c r="N693" s="543"/>
      <c r="O693" s="544"/>
      <c r="P693" s="544"/>
      <c r="Q693" s="544"/>
      <c r="R693" s="544"/>
      <c r="S693" s="544"/>
    </row>
    <row r="694" ht="14.25" customHeight="1">
      <c r="A694" s="542"/>
      <c r="B694" s="543"/>
      <c r="C694" s="543"/>
      <c r="D694" s="544"/>
      <c r="E694" s="544"/>
      <c r="F694" s="544"/>
      <c r="G694" s="544"/>
      <c r="H694" s="544"/>
      <c r="I694" s="543"/>
      <c r="J694" s="543"/>
      <c r="K694" s="544"/>
      <c r="L694" s="543"/>
      <c r="M694" s="544"/>
      <c r="N694" s="543"/>
      <c r="O694" s="544"/>
      <c r="P694" s="544"/>
      <c r="Q694" s="544"/>
      <c r="R694" s="544"/>
      <c r="S694" s="544"/>
    </row>
    <row r="695" ht="14.25" customHeight="1">
      <c r="A695" s="542"/>
      <c r="B695" s="543"/>
      <c r="C695" s="543"/>
      <c r="D695" s="544"/>
      <c r="E695" s="544"/>
      <c r="F695" s="544"/>
      <c r="G695" s="544"/>
      <c r="H695" s="544"/>
      <c r="I695" s="543"/>
      <c r="J695" s="543"/>
      <c r="K695" s="544"/>
      <c r="L695" s="543"/>
      <c r="M695" s="544"/>
      <c r="N695" s="543"/>
      <c r="O695" s="544"/>
      <c r="P695" s="544"/>
      <c r="Q695" s="544"/>
      <c r="R695" s="544"/>
      <c r="S695" s="544"/>
    </row>
    <row r="696" ht="14.25" customHeight="1">
      <c r="A696" s="542"/>
      <c r="B696" s="543"/>
      <c r="C696" s="543"/>
      <c r="D696" s="544"/>
      <c r="E696" s="544"/>
      <c r="F696" s="544"/>
      <c r="G696" s="544"/>
      <c r="H696" s="544"/>
      <c r="I696" s="543"/>
      <c r="J696" s="543"/>
      <c r="K696" s="544"/>
      <c r="L696" s="543"/>
      <c r="M696" s="544"/>
      <c r="N696" s="543"/>
      <c r="O696" s="544"/>
      <c r="P696" s="544"/>
      <c r="Q696" s="544"/>
      <c r="R696" s="544"/>
      <c r="S696" s="544"/>
    </row>
    <row r="697" ht="14.25" customHeight="1">
      <c r="A697" s="542"/>
      <c r="B697" s="543"/>
      <c r="C697" s="543"/>
      <c r="D697" s="544"/>
      <c r="E697" s="544"/>
      <c r="F697" s="544"/>
      <c r="G697" s="544"/>
      <c r="H697" s="544"/>
      <c r="I697" s="543"/>
      <c r="J697" s="543"/>
      <c r="K697" s="544"/>
      <c r="L697" s="543"/>
      <c r="M697" s="544"/>
      <c r="N697" s="543"/>
      <c r="O697" s="544"/>
      <c r="P697" s="544"/>
      <c r="Q697" s="544"/>
      <c r="R697" s="544"/>
      <c r="S697" s="544"/>
    </row>
    <row r="698" ht="14.25" customHeight="1">
      <c r="A698" s="542"/>
      <c r="B698" s="543"/>
      <c r="C698" s="543"/>
      <c r="D698" s="544"/>
      <c r="E698" s="544"/>
      <c r="F698" s="544"/>
      <c r="G698" s="544"/>
      <c r="H698" s="544"/>
      <c r="I698" s="543"/>
      <c r="J698" s="543"/>
      <c r="K698" s="544"/>
      <c r="L698" s="543"/>
      <c r="M698" s="544"/>
      <c r="N698" s="543"/>
      <c r="O698" s="544"/>
      <c r="P698" s="544"/>
      <c r="Q698" s="544"/>
      <c r="R698" s="544"/>
      <c r="S698" s="544"/>
    </row>
    <row r="699" ht="14.25" customHeight="1">
      <c r="A699" s="542"/>
      <c r="B699" s="543"/>
      <c r="C699" s="543"/>
      <c r="D699" s="544"/>
      <c r="E699" s="544"/>
      <c r="F699" s="544"/>
      <c r="G699" s="544"/>
      <c r="H699" s="544"/>
      <c r="I699" s="543"/>
      <c r="J699" s="543"/>
      <c r="K699" s="544"/>
      <c r="L699" s="543"/>
      <c r="M699" s="544"/>
      <c r="N699" s="543"/>
      <c r="O699" s="544"/>
      <c r="P699" s="544"/>
      <c r="Q699" s="544"/>
      <c r="R699" s="544"/>
      <c r="S699" s="544"/>
    </row>
    <row r="700" ht="14.25" customHeight="1">
      <c r="A700" s="542"/>
      <c r="B700" s="543"/>
      <c r="C700" s="543"/>
      <c r="D700" s="544"/>
      <c r="E700" s="544"/>
      <c r="F700" s="544"/>
      <c r="G700" s="544"/>
      <c r="H700" s="544"/>
      <c r="I700" s="543"/>
      <c r="J700" s="543"/>
      <c r="K700" s="544"/>
      <c r="L700" s="543"/>
      <c r="M700" s="544"/>
      <c r="N700" s="543"/>
      <c r="O700" s="544"/>
      <c r="P700" s="544"/>
      <c r="Q700" s="544"/>
      <c r="R700" s="544"/>
      <c r="S700" s="544"/>
    </row>
    <row r="701" ht="14.25" customHeight="1">
      <c r="A701" s="542"/>
      <c r="B701" s="543"/>
      <c r="C701" s="543"/>
      <c r="D701" s="544"/>
      <c r="E701" s="544"/>
      <c r="F701" s="544"/>
      <c r="G701" s="544"/>
      <c r="H701" s="544"/>
      <c r="I701" s="543"/>
      <c r="J701" s="543"/>
      <c r="K701" s="544"/>
      <c r="L701" s="543"/>
      <c r="M701" s="544"/>
      <c r="N701" s="543"/>
      <c r="O701" s="544"/>
      <c r="P701" s="544"/>
      <c r="Q701" s="544"/>
      <c r="R701" s="544"/>
      <c r="S701" s="544"/>
    </row>
    <row r="702" ht="14.25" customHeight="1">
      <c r="A702" s="542"/>
      <c r="B702" s="543"/>
      <c r="C702" s="543"/>
      <c r="D702" s="544"/>
      <c r="E702" s="544"/>
      <c r="F702" s="544"/>
      <c r="G702" s="544"/>
      <c r="H702" s="544"/>
      <c r="I702" s="543"/>
      <c r="J702" s="543"/>
      <c r="K702" s="544"/>
      <c r="L702" s="543"/>
      <c r="M702" s="544"/>
      <c r="N702" s="543"/>
      <c r="O702" s="544"/>
      <c r="P702" s="544"/>
      <c r="Q702" s="544"/>
      <c r="R702" s="544"/>
      <c r="S702" s="544"/>
    </row>
    <row r="703" ht="14.25" customHeight="1">
      <c r="A703" s="542"/>
      <c r="B703" s="543"/>
      <c r="C703" s="543"/>
      <c r="D703" s="544"/>
      <c r="E703" s="544"/>
      <c r="F703" s="544"/>
      <c r="G703" s="544"/>
      <c r="H703" s="544"/>
      <c r="I703" s="543"/>
      <c r="J703" s="543"/>
      <c r="K703" s="544"/>
      <c r="L703" s="543"/>
      <c r="M703" s="544"/>
      <c r="N703" s="543"/>
      <c r="O703" s="544"/>
      <c r="P703" s="544"/>
      <c r="Q703" s="544"/>
      <c r="R703" s="544"/>
      <c r="S703" s="544"/>
    </row>
    <row r="704" ht="14.25" customHeight="1">
      <c r="A704" s="542"/>
      <c r="B704" s="543"/>
      <c r="C704" s="543"/>
      <c r="D704" s="544"/>
      <c r="E704" s="544"/>
      <c r="F704" s="544"/>
      <c r="G704" s="544"/>
      <c r="H704" s="544"/>
      <c r="I704" s="543"/>
      <c r="J704" s="543"/>
      <c r="K704" s="544"/>
      <c r="L704" s="543"/>
      <c r="M704" s="544"/>
      <c r="N704" s="543"/>
      <c r="O704" s="544"/>
      <c r="P704" s="544"/>
      <c r="Q704" s="544"/>
      <c r="R704" s="544"/>
      <c r="S704" s="544"/>
    </row>
    <row r="705" ht="14.25" customHeight="1">
      <c r="A705" s="542"/>
      <c r="B705" s="543"/>
      <c r="C705" s="543"/>
      <c r="D705" s="544"/>
      <c r="E705" s="544"/>
      <c r="F705" s="544"/>
      <c r="G705" s="544"/>
      <c r="H705" s="544"/>
      <c r="I705" s="543"/>
      <c r="J705" s="543"/>
      <c r="K705" s="544"/>
      <c r="L705" s="543"/>
      <c r="M705" s="544"/>
      <c r="N705" s="543"/>
      <c r="O705" s="544"/>
      <c r="P705" s="544"/>
      <c r="Q705" s="544"/>
      <c r="R705" s="544"/>
      <c r="S705" s="544"/>
    </row>
    <row r="706" ht="14.25" customHeight="1">
      <c r="A706" s="542"/>
      <c r="B706" s="543"/>
      <c r="C706" s="543"/>
      <c r="D706" s="544"/>
      <c r="E706" s="544"/>
      <c r="F706" s="544"/>
      <c r="G706" s="544"/>
      <c r="H706" s="544"/>
      <c r="I706" s="543"/>
      <c r="J706" s="543"/>
      <c r="K706" s="544"/>
      <c r="L706" s="543"/>
      <c r="M706" s="544"/>
      <c r="N706" s="543"/>
      <c r="O706" s="544"/>
      <c r="P706" s="544"/>
      <c r="Q706" s="544"/>
      <c r="R706" s="544"/>
      <c r="S706" s="544"/>
    </row>
    <row r="707" ht="14.25" customHeight="1">
      <c r="A707" s="542"/>
      <c r="B707" s="543"/>
      <c r="C707" s="543"/>
      <c r="D707" s="544"/>
      <c r="E707" s="544"/>
      <c r="F707" s="544"/>
      <c r="G707" s="544"/>
      <c r="H707" s="544"/>
      <c r="I707" s="543"/>
      <c r="J707" s="543"/>
      <c r="K707" s="544"/>
      <c r="L707" s="543"/>
      <c r="M707" s="544"/>
      <c r="N707" s="543"/>
      <c r="O707" s="544"/>
      <c r="P707" s="544"/>
      <c r="Q707" s="544"/>
      <c r="R707" s="544"/>
      <c r="S707" s="544"/>
    </row>
    <row r="708" ht="14.25" customHeight="1">
      <c r="A708" s="542"/>
      <c r="B708" s="543"/>
      <c r="C708" s="543"/>
      <c r="D708" s="544"/>
      <c r="E708" s="544"/>
      <c r="F708" s="544"/>
      <c r="G708" s="544"/>
      <c r="H708" s="544"/>
      <c r="I708" s="543"/>
      <c r="J708" s="543"/>
      <c r="K708" s="544"/>
      <c r="L708" s="543"/>
      <c r="M708" s="544"/>
      <c r="N708" s="543"/>
      <c r="O708" s="544"/>
      <c r="P708" s="544"/>
      <c r="Q708" s="544"/>
      <c r="R708" s="544"/>
      <c r="S708" s="544"/>
    </row>
    <row r="709" ht="14.25" customHeight="1">
      <c r="A709" s="542"/>
      <c r="B709" s="543"/>
      <c r="C709" s="543"/>
      <c r="D709" s="544"/>
      <c r="E709" s="544"/>
      <c r="F709" s="544"/>
      <c r="G709" s="544"/>
      <c r="H709" s="544"/>
      <c r="I709" s="543"/>
      <c r="J709" s="543"/>
      <c r="K709" s="544"/>
      <c r="L709" s="543"/>
      <c r="M709" s="544"/>
      <c r="N709" s="543"/>
      <c r="O709" s="544"/>
      <c r="P709" s="544"/>
      <c r="Q709" s="544"/>
      <c r="R709" s="544"/>
      <c r="S709" s="544"/>
    </row>
    <row r="710" ht="14.25" customHeight="1">
      <c r="A710" s="542"/>
      <c r="B710" s="543"/>
      <c r="C710" s="543"/>
      <c r="D710" s="544"/>
      <c r="E710" s="544"/>
      <c r="F710" s="544"/>
      <c r="G710" s="544"/>
      <c r="H710" s="544"/>
      <c r="I710" s="543"/>
      <c r="J710" s="543"/>
      <c r="K710" s="544"/>
      <c r="L710" s="543"/>
      <c r="M710" s="544"/>
      <c r="N710" s="543"/>
      <c r="O710" s="544"/>
      <c r="P710" s="544"/>
      <c r="Q710" s="544"/>
      <c r="R710" s="544"/>
      <c r="S710" s="544"/>
    </row>
    <row r="711" ht="14.25" customHeight="1">
      <c r="A711" s="542"/>
      <c r="B711" s="543"/>
      <c r="C711" s="543"/>
      <c r="D711" s="544"/>
      <c r="E711" s="544"/>
      <c r="F711" s="544"/>
      <c r="G711" s="544"/>
      <c r="H711" s="544"/>
      <c r="I711" s="543"/>
      <c r="J711" s="543"/>
      <c r="K711" s="544"/>
      <c r="L711" s="543"/>
      <c r="M711" s="544"/>
      <c r="N711" s="543"/>
      <c r="O711" s="544"/>
      <c r="P711" s="544"/>
      <c r="Q711" s="544"/>
      <c r="R711" s="544"/>
      <c r="S711" s="544"/>
    </row>
    <row r="712" ht="14.25" customHeight="1">
      <c r="A712" s="542"/>
      <c r="B712" s="543"/>
      <c r="C712" s="543"/>
      <c r="D712" s="544"/>
      <c r="E712" s="544"/>
      <c r="F712" s="544"/>
      <c r="G712" s="544"/>
      <c r="H712" s="544"/>
      <c r="I712" s="543"/>
      <c r="J712" s="543"/>
      <c r="K712" s="544"/>
      <c r="L712" s="543"/>
      <c r="M712" s="544"/>
      <c r="N712" s="543"/>
      <c r="O712" s="544"/>
      <c r="P712" s="544"/>
      <c r="Q712" s="544"/>
      <c r="R712" s="544"/>
      <c r="S712" s="544"/>
    </row>
    <row r="713" ht="14.25" customHeight="1">
      <c r="A713" s="542"/>
      <c r="B713" s="543"/>
      <c r="C713" s="543"/>
      <c r="D713" s="544"/>
      <c r="E713" s="544"/>
      <c r="F713" s="544"/>
      <c r="G713" s="544"/>
      <c r="H713" s="544"/>
      <c r="I713" s="543"/>
      <c r="J713" s="543"/>
      <c r="K713" s="544"/>
      <c r="L713" s="543"/>
      <c r="M713" s="544"/>
      <c r="N713" s="543"/>
      <c r="O713" s="544"/>
      <c r="P713" s="544"/>
      <c r="Q713" s="544"/>
      <c r="R713" s="544"/>
      <c r="S713" s="544"/>
    </row>
    <row r="714" ht="14.25" customHeight="1">
      <c r="A714" s="542"/>
      <c r="B714" s="543"/>
      <c r="C714" s="543"/>
      <c r="D714" s="544"/>
      <c r="E714" s="544"/>
      <c r="F714" s="544"/>
      <c r="G714" s="544"/>
      <c r="H714" s="544"/>
      <c r="I714" s="543"/>
      <c r="J714" s="543"/>
      <c r="K714" s="544"/>
      <c r="L714" s="543"/>
      <c r="M714" s="544"/>
      <c r="N714" s="543"/>
      <c r="O714" s="544"/>
      <c r="P714" s="544"/>
      <c r="Q714" s="544"/>
      <c r="R714" s="544"/>
      <c r="S714" s="544"/>
    </row>
    <row r="715" ht="14.25" customHeight="1">
      <c r="A715" s="542"/>
      <c r="B715" s="543"/>
      <c r="C715" s="543"/>
      <c r="D715" s="544"/>
      <c r="E715" s="544"/>
      <c r="F715" s="544"/>
      <c r="G715" s="544"/>
      <c r="H715" s="544"/>
      <c r="I715" s="543"/>
      <c r="J715" s="543"/>
      <c r="K715" s="544"/>
      <c r="L715" s="543"/>
      <c r="M715" s="544"/>
      <c r="N715" s="543"/>
      <c r="O715" s="544"/>
      <c r="P715" s="544"/>
      <c r="Q715" s="544"/>
      <c r="R715" s="544"/>
      <c r="S715" s="544"/>
    </row>
    <row r="716" ht="14.25" customHeight="1">
      <c r="A716" s="542"/>
      <c r="B716" s="543"/>
      <c r="C716" s="543"/>
      <c r="D716" s="544"/>
      <c r="E716" s="544"/>
      <c r="F716" s="544"/>
      <c r="G716" s="544"/>
      <c r="H716" s="544"/>
      <c r="I716" s="543"/>
      <c r="J716" s="543"/>
      <c r="K716" s="544"/>
      <c r="L716" s="543"/>
      <c r="M716" s="544"/>
      <c r="N716" s="543"/>
      <c r="O716" s="544"/>
      <c r="P716" s="544"/>
      <c r="Q716" s="544"/>
      <c r="R716" s="544"/>
      <c r="S716" s="544"/>
    </row>
    <row r="717" ht="14.25" customHeight="1">
      <c r="A717" s="542"/>
      <c r="B717" s="543"/>
      <c r="C717" s="543"/>
      <c r="D717" s="544"/>
      <c r="E717" s="544"/>
      <c r="F717" s="544"/>
      <c r="G717" s="544"/>
      <c r="H717" s="544"/>
      <c r="I717" s="543"/>
      <c r="J717" s="543"/>
      <c r="K717" s="544"/>
      <c r="L717" s="543"/>
      <c r="M717" s="544"/>
      <c r="N717" s="543"/>
      <c r="O717" s="544"/>
      <c r="P717" s="544"/>
      <c r="Q717" s="544"/>
      <c r="R717" s="544"/>
      <c r="S717" s="544"/>
    </row>
    <row r="718" ht="14.25" customHeight="1">
      <c r="A718" s="542"/>
      <c r="B718" s="543"/>
      <c r="C718" s="543"/>
      <c r="D718" s="544"/>
      <c r="E718" s="544"/>
      <c r="F718" s="544"/>
      <c r="G718" s="544"/>
      <c r="H718" s="544"/>
      <c r="I718" s="543"/>
      <c r="J718" s="543"/>
      <c r="K718" s="544"/>
      <c r="L718" s="543"/>
      <c r="M718" s="544"/>
      <c r="N718" s="543"/>
      <c r="O718" s="544"/>
      <c r="P718" s="544"/>
      <c r="Q718" s="544"/>
      <c r="R718" s="544"/>
      <c r="S718" s="544"/>
    </row>
    <row r="719" ht="14.25" customHeight="1">
      <c r="A719" s="542"/>
      <c r="B719" s="543"/>
      <c r="C719" s="543"/>
      <c r="D719" s="544"/>
      <c r="E719" s="544"/>
      <c r="F719" s="544"/>
      <c r="G719" s="544"/>
      <c r="H719" s="544"/>
      <c r="I719" s="543"/>
      <c r="J719" s="543"/>
      <c r="K719" s="544"/>
      <c r="L719" s="543"/>
      <c r="M719" s="544"/>
      <c r="N719" s="543"/>
      <c r="O719" s="544"/>
      <c r="P719" s="544"/>
      <c r="Q719" s="544"/>
      <c r="R719" s="544"/>
      <c r="S719" s="544"/>
    </row>
    <row r="720" ht="14.25" customHeight="1">
      <c r="A720" s="542"/>
      <c r="B720" s="543"/>
      <c r="C720" s="543"/>
      <c r="D720" s="544"/>
      <c r="E720" s="544"/>
      <c r="F720" s="544"/>
      <c r="G720" s="544"/>
      <c r="H720" s="544"/>
      <c r="I720" s="543"/>
      <c r="J720" s="543"/>
      <c r="K720" s="544"/>
      <c r="L720" s="543"/>
      <c r="M720" s="544"/>
      <c r="N720" s="543"/>
      <c r="O720" s="544"/>
      <c r="P720" s="544"/>
      <c r="Q720" s="544"/>
      <c r="R720" s="544"/>
      <c r="S720" s="544"/>
    </row>
    <row r="721" ht="14.25" customHeight="1">
      <c r="A721" s="542"/>
      <c r="B721" s="543"/>
      <c r="C721" s="543"/>
      <c r="D721" s="544"/>
      <c r="E721" s="544"/>
      <c r="F721" s="544"/>
      <c r="G721" s="544"/>
      <c r="H721" s="544"/>
      <c r="I721" s="543"/>
      <c r="J721" s="543"/>
      <c r="K721" s="544"/>
      <c r="L721" s="543"/>
      <c r="M721" s="544"/>
      <c r="N721" s="543"/>
      <c r="O721" s="544"/>
      <c r="P721" s="544"/>
      <c r="Q721" s="544"/>
      <c r="R721" s="544"/>
      <c r="S721" s="544"/>
    </row>
    <row r="722" ht="14.25" customHeight="1">
      <c r="A722" s="542"/>
      <c r="B722" s="543"/>
      <c r="C722" s="543"/>
      <c r="D722" s="544"/>
      <c r="E722" s="544"/>
      <c r="F722" s="544"/>
      <c r="G722" s="544"/>
      <c r="H722" s="544"/>
      <c r="I722" s="543"/>
      <c r="J722" s="543"/>
      <c r="K722" s="544"/>
      <c r="L722" s="543"/>
      <c r="M722" s="544"/>
      <c r="N722" s="543"/>
      <c r="O722" s="544"/>
      <c r="P722" s="544"/>
      <c r="Q722" s="544"/>
      <c r="R722" s="544"/>
      <c r="S722" s="544"/>
    </row>
    <row r="723" ht="14.25" customHeight="1">
      <c r="A723" s="542"/>
      <c r="B723" s="543"/>
      <c r="C723" s="543"/>
      <c r="D723" s="544"/>
      <c r="E723" s="544"/>
      <c r="F723" s="544"/>
      <c r="G723" s="544"/>
      <c r="H723" s="544"/>
      <c r="I723" s="543"/>
      <c r="J723" s="543"/>
      <c r="K723" s="544"/>
      <c r="L723" s="543"/>
      <c r="M723" s="544"/>
      <c r="N723" s="543"/>
      <c r="O723" s="544"/>
      <c r="P723" s="544"/>
      <c r="Q723" s="544"/>
      <c r="R723" s="544"/>
      <c r="S723" s="544"/>
    </row>
    <row r="724" ht="14.25" customHeight="1">
      <c r="A724" s="542"/>
      <c r="B724" s="543"/>
      <c r="C724" s="543"/>
      <c r="D724" s="544"/>
      <c r="E724" s="544"/>
      <c r="F724" s="544"/>
      <c r="G724" s="544"/>
      <c r="H724" s="544"/>
      <c r="I724" s="543"/>
      <c r="J724" s="543"/>
      <c r="K724" s="544"/>
      <c r="L724" s="543"/>
      <c r="M724" s="544"/>
      <c r="N724" s="543"/>
      <c r="O724" s="544"/>
      <c r="P724" s="544"/>
      <c r="Q724" s="544"/>
      <c r="R724" s="544"/>
      <c r="S724" s="544"/>
    </row>
    <row r="725" ht="14.25" customHeight="1">
      <c r="A725" s="542"/>
      <c r="B725" s="543"/>
      <c r="C725" s="543"/>
      <c r="D725" s="544"/>
      <c r="E725" s="544"/>
      <c r="F725" s="544"/>
      <c r="G725" s="544"/>
      <c r="H725" s="544"/>
      <c r="I725" s="543"/>
      <c r="J725" s="543"/>
      <c r="K725" s="544"/>
      <c r="L725" s="543"/>
      <c r="M725" s="544"/>
      <c r="N725" s="543"/>
      <c r="O725" s="544"/>
      <c r="P725" s="544"/>
      <c r="Q725" s="544"/>
      <c r="R725" s="544"/>
      <c r="S725" s="544"/>
    </row>
    <row r="726" ht="14.25" customHeight="1">
      <c r="A726" s="542"/>
      <c r="B726" s="543"/>
      <c r="C726" s="543"/>
      <c r="D726" s="544"/>
      <c r="E726" s="544"/>
      <c r="F726" s="544"/>
      <c r="G726" s="544"/>
      <c r="H726" s="544"/>
      <c r="I726" s="543"/>
      <c r="J726" s="543"/>
      <c r="K726" s="544"/>
      <c r="L726" s="543"/>
      <c r="M726" s="544"/>
      <c r="N726" s="543"/>
      <c r="O726" s="544"/>
      <c r="P726" s="544"/>
      <c r="Q726" s="544"/>
      <c r="R726" s="544"/>
      <c r="S726" s="544"/>
    </row>
    <row r="727" ht="14.25" customHeight="1">
      <c r="A727" s="542"/>
      <c r="B727" s="543"/>
      <c r="C727" s="543"/>
      <c r="D727" s="544"/>
      <c r="E727" s="544"/>
      <c r="F727" s="544"/>
      <c r="G727" s="544"/>
      <c r="H727" s="544"/>
      <c r="I727" s="543"/>
      <c r="J727" s="543"/>
      <c r="K727" s="544"/>
      <c r="L727" s="543"/>
      <c r="M727" s="544"/>
      <c r="N727" s="543"/>
      <c r="O727" s="544"/>
      <c r="P727" s="544"/>
      <c r="Q727" s="544"/>
      <c r="R727" s="544"/>
      <c r="S727" s="544"/>
    </row>
    <row r="728" ht="14.25" customHeight="1">
      <c r="A728" s="542"/>
      <c r="B728" s="543"/>
      <c r="C728" s="543"/>
      <c r="D728" s="544"/>
      <c r="E728" s="544"/>
      <c r="F728" s="544"/>
      <c r="G728" s="544"/>
      <c r="H728" s="544"/>
      <c r="I728" s="543"/>
      <c r="J728" s="543"/>
      <c r="K728" s="544"/>
      <c r="L728" s="543"/>
      <c r="M728" s="544"/>
      <c r="N728" s="543"/>
      <c r="O728" s="544"/>
      <c r="P728" s="544"/>
      <c r="Q728" s="544"/>
      <c r="R728" s="544"/>
      <c r="S728" s="544"/>
    </row>
    <row r="729" ht="14.25" customHeight="1">
      <c r="A729" s="542"/>
      <c r="B729" s="543"/>
      <c r="C729" s="543"/>
      <c r="D729" s="544"/>
      <c r="E729" s="544"/>
      <c r="F729" s="544"/>
      <c r="G729" s="544"/>
      <c r="H729" s="544"/>
      <c r="I729" s="543"/>
      <c r="J729" s="543"/>
      <c r="K729" s="544"/>
      <c r="L729" s="543"/>
      <c r="M729" s="544"/>
      <c r="N729" s="543"/>
      <c r="O729" s="544"/>
      <c r="P729" s="544"/>
      <c r="Q729" s="544"/>
      <c r="R729" s="544"/>
      <c r="S729" s="544"/>
    </row>
    <row r="730" ht="14.25" customHeight="1">
      <c r="A730" s="542"/>
      <c r="B730" s="543"/>
      <c r="C730" s="543"/>
      <c r="D730" s="544"/>
      <c r="E730" s="544"/>
      <c r="F730" s="544"/>
      <c r="G730" s="544"/>
      <c r="H730" s="544"/>
      <c r="I730" s="543"/>
      <c r="J730" s="543"/>
      <c r="K730" s="544"/>
      <c r="L730" s="543"/>
      <c r="M730" s="544"/>
      <c r="N730" s="543"/>
      <c r="O730" s="544"/>
      <c r="P730" s="544"/>
      <c r="Q730" s="544"/>
      <c r="R730" s="544"/>
      <c r="S730" s="544"/>
    </row>
    <row r="731" ht="14.25" customHeight="1">
      <c r="A731" s="542"/>
      <c r="B731" s="543"/>
      <c r="C731" s="543"/>
      <c r="D731" s="544"/>
      <c r="E731" s="544"/>
      <c r="F731" s="544"/>
      <c r="G731" s="544"/>
      <c r="H731" s="544"/>
      <c r="I731" s="543"/>
      <c r="J731" s="543"/>
      <c r="K731" s="544"/>
      <c r="L731" s="543"/>
      <c r="M731" s="544"/>
      <c r="N731" s="543"/>
      <c r="O731" s="544"/>
      <c r="P731" s="544"/>
      <c r="Q731" s="544"/>
      <c r="R731" s="544"/>
      <c r="S731" s="544"/>
    </row>
    <row r="732" ht="14.25" customHeight="1">
      <c r="A732" s="542"/>
      <c r="B732" s="543"/>
      <c r="C732" s="543"/>
      <c r="D732" s="544"/>
      <c r="E732" s="544"/>
      <c r="F732" s="544"/>
      <c r="G732" s="544"/>
      <c r="H732" s="544"/>
      <c r="I732" s="543"/>
      <c r="J732" s="543"/>
      <c r="K732" s="544"/>
      <c r="L732" s="543"/>
      <c r="M732" s="544"/>
      <c r="N732" s="543"/>
      <c r="O732" s="544"/>
      <c r="P732" s="544"/>
      <c r="Q732" s="544"/>
      <c r="R732" s="544"/>
      <c r="S732" s="544"/>
    </row>
    <row r="733" ht="14.25" customHeight="1">
      <c r="A733" s="542"/>
      <c r="B733" s="543"/>
      <c r="C733" s="543"/>
      <c r="D733" s="544"/>
      <c r="E733" s="544"/>
      <c r="F733" s="544"/>
      <c r="G733" s="544"/>
      <c r="H733" s="544"/>
      <c r="I733" s="543"/>
      <c r="J733" s="543"/>
      <c r="K733" s="544"/>
      <c r="L733" s="543"/>
      <c r="M733" s="544"/>
      <c r="N733" s="543"/>
      <c r="O733" s="544"/>
      <c r="P733" s="544"/>
      <c r="Q733" s="544"/>
      <c r="R733" s="544"/>
      <c r="S733" s="544"/>
    </row>
    <row r="734" ht="14.25" customHeight="1">
      <c r="A734" s="542"/>
      <c r="B734" s="543"/>
      <c r="C734" s="543"/>
      <c r="D734" s="544"/>
      <c r="E734" s="544"/>
      <c r="F734" s="544"/>
      <c r="G734" s="544"/>
      <c r="H734" s="544"/>
      <c r="I734" s="543"/>
      <c r="J734" s="543"/>
      <c r="K734" s="544"/>
      <c r="L734" s="543"/>
      <c r="M734" s="544"/>
      <c r="N734" s="543"/>
      <c r="O734" s="544"/>
      <c r="P734" s="544"/>
      <c r="Q734" s="544"/>
      <c r="R734" s="544"/>
      <c r="S734" s="544"/>
    </row>
    <row r="735" ht="14.25" customHeight="1">
      <c r="A735" s="542"/>
      <c r="B735" s="543"/>
      <c r="C735" s="543"/>
      <c r="D735" s="544"/>
      <c r="E735" s="544"/>
      <c r="F735" s="544"/>
      <c r="G735" s="544"/>
      <c r="H735" s="544"/>
      <c r="I735" s="543"/>
      <c r="J735" s="543"/>
      <c r="K735" s="544"/>
      <c r="L735" s="543"/>
      <c r="M735" s="544"/>
      <c r="N735" s="543"/>
      <c r="O735" s="544"/>
      <c r="P735" s="544"/>
      <c r="Q735" s="544"/>
      <c r="R735" s="544"/>
      <c r="S735" s="544"/>
    </row>
    <row r="736" ht="14.25" customHeight="1">
      <c r="A736" s="542"/>
      <c r="B736" s="543"/>
      <c r="C736" s="543"/>
      <c r="D736" s="544"/>
      <c r="E736" s="544"/>
      <c r="F736" s="544"/>
      <c r="G736" s="544"/>
      <c r="H736" s="544"/>
      <c r="I736" s="543"/>
      <c r="J736" s="543"/>
      <c r="K736" s="544"/>
      <c r="L736" s="543"/>
      <c r="M736" s="544"/>
      <c r="N736" s="543"/>
      <c r="O736" s="544"/>
      <c r="P736" s="544"/>
      <c r="Q736" s="544"/>
      <c r="R736" s="544"/>
      <c r="S736" s="544"/>
    </row>
    <row r="737" ht="14.25" customHeight="1">
      <c r="A737" s="542"/>
      <c r="B737" s="543"/>
      <c r="C737" s="543"/>
      <c r="D737" s="544"/>
      <c r="E737" s="544"/>
      <c r="F737" s="544"/>
      <c r="G737" s="544"/>
      <c r="H737" s="544"/>
      <c r="I737" s="543"/>
      <c r="J737" s="543"/>
      <c r="K737" s="544"/>
      <c r="L737" s="543"/>
      <c r="M737" s="544"/>
      <c r="N737" s="543"/>
      <c r="O737" s="544"/>
      <c r="P737" s="544"/>
      <c r="Q737" s="544"/>
      <c r="R737" s="544"/>
      <c r="S737" s="544"/>
    </row>
    <row r="738" ht="14.25" customHeight="1">
      <c r="A738" s="542"/>
      <c r="B738" s="543"/>
      <c r="C738" s="543"/>
      <c r="D738" s="544"/>
      <c r="E738" s="544"/>
      <c r="F738" s="544"/>
      <c r="G738" s="544"/>
      <c r="H738" s="544"/>
      <c r="I738" s="543"/>
      <c r="J738" s="543"/>
      <c r="K738" s="544"/>
      <c r="L738" s="543"/>
      <c r="M738" s="544"/>
      <c r="N738" s="543"/>
      <c r="O738" s="544"/>
      <c r="P738" s="544"/>
      <c r="Q738" s="544"/>
      <c r="R738" s="544"/>
      <c r="S738" s="544"/>
    </row>
    <row r="739" ht="14.25" customHeight="1">
      <c r="A739" s="542"/>
      <c r="B739" s="543"/>
      <c r="C739" s="543"/>
      <c r="D739" s="544"/>
      <c r="E739" s="544"/>
      <c r="F739" s="544"/>
      <c r="G739" s="544"/>
      <c r="H739" s="544"/>
      <c r="I739" s="543"/>
      <c r="J739" s="543"/>
      <c r="K739" s="544"/>
      <c r="L739" s="543"/>
      <c r="M739" s="544"/>
      <c r="N739" s="543"/>
      <c r="O739" s="544"/>
      <c r="P739" s="544"/>
      <c r="Q739" s="544"/>
      <c r="R739" s="544"/>
      <c r="S739" s="544"/>
    </row>
    <row r="740" ht="14.25" customHeight="1">
      <c r="A740" s="542"/>
      <c r="B740" s="543"/>
      <c r="C740" s="543"/>
      <c r="D740" s="544"/>
      <c r="E740" s="544"/>
      <c r="F740" s="544"/>
      <c r="G740" s="544"/>
      <c r="H740" s="544"/>
      <c r="I740" s="543"/>
      <c r="J740" s="543"/>
      <c r="K740" s="544"/>
      <c r="L740" s="543"/>
      <c r="M740" s="544"/>
      <c r="N740" s="543"/>
      <c r="O740" s="544"/>
      <c r="P740" s="544"/>
      <c r="Q740" s="544"/>
      <c r="R740" s="544"/>
      <c r="S740" s="544"/>
    </row>
    <row r="741" ht="14.25" customHeight="1">
      <c r="A741" s="542"/>
      <c r="B741" s="543"/>
      <c r="C741" s="543"/>
      <c r="D741" s="544"/>
      <c r="E741" s="544"/>
      <c r="F741" s="544"/>
      <c r="G741" s="544"/>
      <c r="H741" s="544"/>
      <c r="I741" s="543"/>
      <c r="J741" s="543"/>
      <c r="K741" s="544"/>
      <c r="L741" s="543"/>
      <c r="M741" s="544"/>
      <c r="N741" s="543"/>
      <c r="O741" s="544"/>
      <c r="P741" s="544"/>
      <c r="Q741" s="544"/>
      <c r="R741" s="544"/>
      <c r="S741" s="544"/>
    </row>
    <row r="742" ht="14.25" customHeight="1">
      <c r="A742" s="542"/>
      <c r="B742" s="543"/>
      <c r="C742" s="543"/>
      <c r="D742" s="544"/>
      <c r="E742" s="544"/>
      <c r="F742" s="544"/>
      <c r="G742" s="544"/>
      <c r="H742" s="544"/>
      <c r="I742" s="543"/>
      <c r="J742" s="543"/>
      <c r="K742" s="544"/>
      <c r="L742" s="543"/>
      <c r="M742" s="544"/>
      <c r="N742" s="543"/>
      <c r="O742" s="544"/>
      <c r="P742" s="544"/>
      <c r="Q742" s="544"/>
      <c r="R742" s="544"/>
      <c r="S742" s="544"/>
    </row>
    <row r="743" ht="14.25" customHeight="1">
      <c r="A743" s="542"/>
      <c r="B743" s="543"/>
      <c r="C743" s="543"/>
      <c r="D743" s="544"/>
      <c r="E743" s="544"/>
      <c r="F743" s="544"/>
      <c r="G743" s="544"/>
      <c r="H743" s="544"/>
      <c r="I743" s="543"/>
      <c r="J743" s="543"/>
      <c r="K743" s="544"/>
      <c r="L743" s="543"/>
      <c r="M743" s="544"/>
      <c r="N743" s="543"/>
      <c r="O743" s="544"/>
      <c r="P743" s="544"/>
      <c r="Q743" s="544"/>
      <c r="R743" s="544"/>
      <c r="S743" s="544"/>
    </row>
    <row r="744" ht="14.25" customHeight="1">
      <c r="A744" s="542"/>
      <c r="B744" s="543"/>
      <c r="C744" s="543"/>
      <c r="D744" s="544"/>
      <c r="E744" s="544"/>
      <c r="F744" s="544"/>
      <c r="G744" s="544"/>
      <c r="H744" s="544"/>
      <c r="I744" s="543"/>
      <c r="J744" s="543"/>
      <c r="K744" s="544"/>
      <c r="L744" s="543"/>
      <c r="M744" s="544"/>
      <c r="N744" s="543"/>
      <c r="O744" s="544"/>
      <c r="P744" s="544"/>
      <c r="Q744" s="544"/>
      <c r="R744" s="544"/>
      <c r="S744" s="544"/>
    </row>
    <row r="745" ht="14.25" customHeight="1">
      <c r="A745" s="542"/>
      <c r="B745" s="543"/>
      <c r="C745" s="543"/>
      <c r="D745" s="544"/>
      <c r="E745" s="544"/>
      <c r="F745" s="544"/>
      <c r="G745" s="544"/>
      <c r="H745" s="544"/>
      <c r="I745" s="543"/>
      <c r="J745" s="543"/>
      <c r="K745" s="544"/>
      <c r="L745" s="543"/>
      <c r="M745" s="544"/>
      <c r="N745" s="543"/>
      <c r="O745" s="544"/>
      <c r="P745" s="544"/>
      <c r="Q745" s="544"/>
      <c r="R745" s="544"/>
      <c r="S745" s="544"/>
    </row>
    <row r="746" ht="14.25" customHeight="1">
      <c r="A746" s="542"/>
      <c r="B746" s="543"/>
      <c r="C746" s="543"/>
      <c r="D746" s="544"/>
      <c r="E746" s="544"/>
      <c r="F746" s="544"/>
      <c r="G746" s="544"/>
      <c r="H746" s="544"/>
      <c r="I746" s="543"/>
      <c r="J746" s="543"/>
      <c r="K746" s="544"/>
      <c r="L746" s="543"/>
      <c r="M746" s="544"/>
      <c r="N746" s="543"/>
      <c r="O746" s="544"/>
      <c r="P746" s="544"/>
      <c r="Q746" s="544"/>
      <c r="R746" s="544"/>
      <c r="S746" s="544"/>
    </row>
    <row r="747" ht="14.25" customHeight="1">
      <c r="A747" s="542"/>
      <c r="B747" s="543"/>
      <c r="C747" s="543"/>
      <c r="D747" s="544"/>
      <c r="E747" s="544"/>
      <c r="F747" s="544"/>
      <c r="G747" s="544"/>
      <c r="H747" s="544"/>
      <c r="I747" s="543"/>
      <c r="J747" s="543"/>
      <c r="K747" s="544"/>
      <c r="L747" s="543"/>
      <c r="M747" s="544"/>
      <c r="N747" s="543"/>
      <c r="O747" s="544"/>
      <c r="P747" s="544"/>
      <c r="Q747" s="544"/>
      <c r="R747" s="544"/>
      <c r="S747" s="544"/>
    </row>
    <row r="748" ht="14.25" customHeight="1">
      <c r="A748" s="542"/>
      <c r="B748" s="543"/>
      <c r="C748" s="543"/>
      <c r="D748" s="544"/>
      <c r="E748" s="544"/>
      <c r="F748" s="544"/>
      <c r="G748" s="544"/>
      <c r="H748" s="544"/>
      <c r="I748" s="543"/>
      <c r="J748" s="543"/>
      <c r="K748" s="544"/>
      <c r="L748" s="543"/>
      <c r="M748" s="544"/>
      <c r="N748" s="543"/>
      <c r="O748" s="544"/>
      <c r="P748" s="544"/>
      <c r="Q748" s="544"/>
      <c r="R748" s="544"/>
      <c r="S748" s="544"/>
    </row>
    <row r="749" ht="14.25" customHeight="1">
      <c r="A749" s="542"/>
      <c r="B749" s="543"/>
      <c r="C749" s="543"/>
      <c r="D749" s="544"/>
      <c r="E749" s="544"/>
      <c r="F749" s="544"/>
      <c r="G749" s="544"/>
      <c r="H749" s="544"/>
      <c r="I749" s="543"/>
      <c r="J749" s="543"/>
      <c r="K749" s="544"/>
      <c r="L749" s="543"/>
      <c r="M749" s="544"/>
      <c r="N749" s="543"/>
      <c r="O749" s="544"/>
      <c r="P749" s="544"/>
      <c r="Q749" s="544"/>
      <c r="R749" s="544"/>
      <c r="S749" s="544"/>
    </row>
    <row r="750" ht="14.25" customHeight="1">
      <c r="A750" s="542"/>
      <c r="B750" s="543"/>
      <c r="C750" s="543"/>
      <c r="D750" s="544"/>
      <c r="E750" s="544"/>
      <c r="F750" s="544"/>
      <c r="G750" s="544"/>
      <c r="H750" s="544"/>
      <c r="I750" s="543"/>
      <c r="J750" s="543"/>
      <c r="K750" s="544"/>
      <c r="L750" s="543"/>
      <c r="M750" s="544"/>
      <c r="N750" s="543"/>
      <c r="O750" s="544"/>
      <c r="P750" s="544"/>
      <c r="Q750" s="544"/>
      <c r="R750" s="544"/>
      <c r="S750" s="544"/>
    </row>
    <row r="751" ht="14.25" customHeight="1">
      <c r="A751" s="542"/>
      <c r="B751" s="543"/>
      <c r="C751" s="543"/>
      <c r="D751" s="544"/>
      <c r="E751" s="544"/>
      <c r="F751" s="544"/>
      <c r="G751" s="544"/>
      <c r="H751" s="544"/>
      <c r="I751" s="543"/>
      <c r="J751" s="543"/>
      <c r="K751" s="544"/>
      <c r="L751" s="543"/>
      <c r="M751" s="544"/>
      <c r="N751" s="543"/>
      <c r="O751" s="544"/>
      <c r="P751" s="544"/>
      <c r="Q751" s="544"/>
      <c r="R751" s="544"/>
      <c r="S751" s="544"/>
    </row>
    <row r="752" ht="14.25" customHeight="1">
      <c r="A752" s="542"/>
      <c r="B752" s="543"/>
      <c r="C752" s="543"/>
      <c r="D752" s="544"/>
      <c r="E752" s="544"/>
      <c r="F752" s="544"/>
      <c r="G752" s="544"/>
      <c r="H752" s="544"/>
      <c r="I752" s="543"/>
      <c r="J752" s="543"/>
      <c r="K752" s="544"/>
      <c r="L752" s="543"/>
      <c r="M752" s="544"/>
      <c r="N752" s="543"/>
      <c r="O752" s="544"/>
      <c r="P752" s="544"/>
      <c r="Q752" s="544"/>
      <c r="R752" s="544"/>
      <c r="S752" s="544"/>
    </row>
    <row r="753" ht="14.25" customHeight="1">
      <c r="A753" s="542"/>
      <c r="B753" s="543"/>
      <c r="C753" s="543"/>
      <c r="D753" s="544"/>
      <c r="E753" s="544"/>
      <c r="F753" s="544"/>
      <c r="G753" s="544"/>
      <c r="H753" s="544"/>
      <c r="I753" s="543"/>
      <c r="J753" s="543"/>
      <c r="K753" s="544"/>
      <c r="L753" s="543"/>
      <c r="M753" s="544"/>
      <c r="N753" s="543"/>
      <c r="O753" s="544"/>
      <c r="P753" s="544"/>
      <c r="Q753" s="544"/>
      <c r="R753" s="544"/>
      <c r="S753" s="544"/>
    </row>
    <row r="754" ht="14.25" customHeight="1">
      <c r="A754" s="542"/>
      <c r="B754" s="543"/>
      <c r="C754" s="543"/>
      <c r="D754" s="544"/>
      <c r="E754" s="544"/>
      <c r="F754" s="544"/>
      <c r="G754" s="544"/>
      <c r="H754" s="544"/>
      <c r="I754" s="543"/>
      <c r="J754" s="543"/>
      <c r="K754" s="544"/>
      <c r="L754" s="543"/>
      <c r="M754" s="544"/>
      <c r="N754" s="543"/>
      <c r="O754" s="544"/>
      <c r="P754" s="544"/>
      <c r="Q754" s="544"/>
      <c r="R754" s="544"/>
      <c r="S754" s="544"/>
    </row>
    <row r="755" ht="14.25" customHeight="1">
      <c r="A755" s="542"/>
      <c r="B755" s="543"/>
      <c r="C755" s="543"/>
      <c r="D755" s="544"/>
      <c r="E755" s="544"/>
      <c r="F755" s="544"/>
      <c r="G755" s="544"/>
      <c r="H755" s="544"/>
      <c r="I755" s="543"/>
      <c r="J755" s="543"/>
      <c r="K755" s="544"/>
      <c r="L755" s="543"/>
      <c r="M755" s="544"/>
      <c r="N755" s="543"/>
      <c r="O755" s="544"/>
      <c r="P755" s="544"/>
      <c r="Q755" s="544"/>
      <c r="R755" s="544"/>
      <c r="S755" s="544"/>
    </row>
    <row r="756" ht="14.25" customHeight="1">
      <c r="A756" s="542"/>
      <c r="B756" s="543"/>
      <c r="C756" s="543"/>
      <c r="D756" s="544"/>
      <c r="E756" s="544"/>
      <c r="F756" s="544"/>
      <c r="G756" s="544"/>
      <c r="H756" s="544"/>
      <c r="I756" s="543"/>
      <c r="J756" s="543"/>
      <c r="K756" s="544"/>
      <c r="L756" s="543"/>
      <c r="M756" s="544"/>
      <c r="N756" s="543"/>
      <c r="O756" s="544"/>
      <c r="P756" s="544"/>
      <c r="Q756" s="544"/>
      <c r="R756" s="544"/>
      <c r="S756" s="544"/>
    </row>
    <row r="757" ht="14.25" customHeight="1">
      <c r="A757" s="542"/>
      <c r="B757" s="543"/>
      <c r="C757" s="543"/>
      <c r="D757" s="544"/>
      <c r="E757" s="544"/>
      <c r="F757" s="544"/>
      <c r="G757" s="544"/>
      <c r="H757" s="544"/>
      <c r="I757" s="543"/>
      <c r="J757" s="543"/>
      <c r="K757" s="544"/>
      <c r="L757" s="543"/>
      <c r="M757" s="544"/>
      <c r="N757" s="543"/>
      <c r="O757" s="544"/>
      <c r="P757" s="544"/>
      <c r="Q757" s="544"/>
      <c r="R757" s="544"/>
      <c r="S757" s="544"/>
    </row>
    <row r="758" ht="14.25" customHeight="1">
      <c r="A758" s="542"/>
      <c r="B758" s="543"/>
      <c r="C758" s="543"/>
      <c r="D758" s="544"/>
      <c r="E758" s="544"/>
      <c r="F758" s="544"/>
      <c r="G758" s="544"/>
      <c r="H758" s="544"/>
      <c r="I758" s="543"/>
      <c r="J758" s="543"/>
      <c r="K758" s="544"/>
      <c r="L758" s="543"/>
      <c r="M758" s="544"/>
      <c r="N758" s="543"/>
      <c r="O758" s="544"/>
      <c r="P758" s="544"/>
      <c r="Q758" s="544"/>
      <c r="R758" s="544"/>
      <c r="S758" s="544"/>
    </row>
    <row r="759" ht="14.25" customHeight="1">
      <c r="A759" s="542"/>
      <c r="B759" s="543"/>
      <c r="C759" s="543"/>
      <c r="D759" s="544"/>
      <c r="E759" s="544"/>
      <c r="F759" s="544"/>
      <c r="G759" s="544"/>
      <c r="H759" s="544"/>
      <c r="I759" s="543"/>
      <c r="J759" s="543"/>
      <c r="K759" s="544"/>
      <c r="L759" s="543"/>
      <c r="M759" s="544"/>
      <c r="N759" s="543"/>
      <c r="O759" s="544"/>
      <c r="P759" s="544"/>
      <c r="Q759" s="544"/>
      <c r="R759" s="544"/>
      <c r="S759" s="544"/>
    </row>
    <row r="760" ht="14.25" customHeight="1">
      <c r="A760" s="542"/>
      <c r="B760" s="543"/>
      <c r="C760" s="543"/>
      <c r="D760" s="544"/>
      <c r="E760" s="544"/>
      <c r="F760" s="544"/>
      <c r="G760" s="544"/>
      <c r="H760" s="544"/>
      <c r="I760" s="543"/>
      <c r="J760" s="543"/>
      <c r="K760" s="544"/>
      <c r="L760" s="543"/>
      <c r="M760" s="544"/>
      <c r="N760" s="543"/>
      <c r="O760" s="544"/>
      <c r="P760" s="544"/>
      <c r="Q760" s="544"/>
      <c r="R760" s="544"/>
      <c r="S760" s="544"/>
    </row>
    <row r="761" ht="14.25" customHeight="1">
      <c r="A761" s="542"/>
      <c r="B761" s="543"/>
      <c r="C761" s="543"/>
      <c r="D761" s="544"/>
      <c r="E761" s="544"/>
      <c r="F761" s="544"/>
      <c r="G761" s="544"/>
      <c r="H761" s="544"/>
      <c r="I761" s="543"/>
      <c r="J761" s="543"/>
      <c r="K761" s="544"/>
      <c r="L761" s="543"/>
      <c r="M761" s="544"/>
      <c r="N761" s="543"/>
      <c r="O761" s="544"/>
      <c r="P761" s="544"/>
      <c r="Q761" s="544"/>
      <c r="R761" s="544"/>
      <c r="S761" s="544"/>
    </row>
    <row r="762" ht="14.25" customHeight="1">
      <c r="A762" s="542"/>
      <c r="B762" s="543"/>
      <c r="C762" s="543"/>
      <c r="D762" s="544"/>
      <c r="E762" s="544"/>
      <c r="F762" s="544"/>
      <c r="G762" s="544"/>
      <c r="H762" s="544"/>
      <c r="I762" s="543"/>
      <c r="J762" s="543"/>
      <c r="K762" s="544"/>
      <c r="L762" s="543"/>
      <c r="M762" s="544"/>
      <c r="N762" s="543"/>
      <c r="O762" s="544"/>
      <c r="P762" s="544"/>
      <c r="Q762" s="544"/>
      <c r="R762" s="544"/>
      <c r="S762" s="544"/>
    </row>
    <row r="763" ht="14.25" customHeight="1">
      <c r="A763" s="542"/>
      <c r="B763" s="543"/>
      <c r="C763" s="543"/>
      <c r="D763" s="544"/>
      <c r="E763" s="544"/>
      <c r="F763" s="544"/>
      <c r="G763" s="544"/>
      <c r="H763" s="544"/>
      <c r="I763" s="543"/>
      <c r="J763" s="543"/>
      <c r="K763" s="544"/>
      <c r="L763" s="543"/>
      <c r="M763" s="544"/>
      <c r="N763" s="543"/>
      <c r="O763" s="544"/>
      <c r="P763" s="544"/>
      <c r="Q763" s="544"/>
      <c r="R763" s="544"/>
      <c r="S763" s="544"/>
    </row>
    <row r="764" ht="14.25" customHeight="1">
      <c r="A764" s="542"/>
      <c r="B764" s="543"/>
      <c r="C764" s="543"/>
      <c r="D764" s="544"/>
      <c r="E764" s="544"/>
      <c r="F764" s="544"/>
      <c r="G764" s="544"/>
      <c r="H764" s="544"/>
      <c r="I764" s="543"/>
      <c r="J764" s="543"/>
      <c r="K764" s="544"/>
      <c r="L764" s="543"/>
      <c r="M764" s="544"/>
      <c r="N764" s="543"/>
      <c r="O764" s="544"/>
      <c r="P764" s="544"/>
      <c r="Q764" s="544"/>
      <c r="R764" s="544"/>
      <c r="S764" s="544"/>
    </row>
    <row r="765" ht="14.25" customHeight="1">
      <c r="A765" s="542"/>
      <c r="B765" s="543"/>
      <c r="C765" s="543"/>
      <c r="D765" s="544"/>
      <c r="E765" s="544"/>
      <c r="F765" s="544"/>
      <c r="G765" s="544"/>
      <c r="H765" s="544"/>
      <c r="I765" s="543"/>
      <c r="J765" s="543"/>
      <c r="K765" s="544"/>
      <c r="L765" s="543"/>
      <c r="M765" s="544"/>
      <c r="N765" s="543"/>
      <c r="O765" s="544"/>
      <c r="P765" s="544"/>
      <c r="Q765" s="544"/>
      <c r="R765" s="544"/>
      <c r="S765" s="544"/>
    </row>
    <row r="766" ht="14.25" customHeight="1">
      <c r="A766" s="542"/>
      <c r="B766" s="543"/>
      <c r="C766" s="543"/>
      <c r="D766" s="544"/>
      <c r="E766" s="544"/>
      <c r="F766" s="544"/>
      <c r="G766" s="544"/>
      <c r="H766" s="544"/>
      <c r="I766" s="543"/>
      <c r="J766" s="543"/>
      <c r="K766" s="544"/>
      <c r="L766" s="543"/>
      <c r="M766" s="544"/>
      <c r="N766" s="543"/>
      <c r="O766" s="544"/>
      <c r="P766" s="544"/>
      <c r="Q766" s="544"/>
      <c r="R766" s="544"/>
      <c r="S766" s="544"/>
    </row>
    <row r="767" ht="14.25" customHeight="1">
      <c r="A767" s="542"/>
      <c r="B767" s="543"/>
      <c r="C767" s="543"/>
      <c r="D767" s="544"/>
      <c r="E767" s="544"/>
      <c r="F767" s="544"/>
      <c r="G767" s="544"/>
      <c r="H767" s="544"/>
      <c r="I767" s="543"/>
      <c r="J767" s="543"/>
      <c r="K767" s="544"/>
      <c r="L767" s="543"/>
      <c r="M767" s="544"/>
      <c r="N767" s="543"/>
      <c r="O767" s="544"/>
      <c r="P767" s="544"/>
      <c r="Q767" s="544"/>
      <c r="R767" s="544"/>
      <c r="S767" s="544"/>
    </row>
    <row r="768" ht="14.25" customHeight="1">
      <c r="A768" s="542"/>
      <c r="B768" s="543"/>
      <c r="C768" s="543"/>
      <c r="D768" s="544"/>
      <c r="E768" s="544"/>
      <c r="F768" s="544"/>
      <c r="G768" s="544"/>
      <c r="H768" s="544"/>
      <c r="I768" s="543"/>
      <c r="J768" s="543"/>
      <c r="K768" s="544"/>
      <c r="L768" s="543"/>
      <c r="M768" s="544"/>
      <c r="N768" s="543"/>
      <c r="O768" s="544"/>
      <c r="P768" s="544"/>
      <c r="Q768" s="544"/>
      <c r="R768" s="544"/>
      <c r="S768" s="544"/>
    </row>
    <row r="769" ht="14.25" customHeight="1">
      <c r="A769" s="542"/>
      <c r="B769" s="543"/>
      <c r="C769" s="543"/>
      <c r="D769" s="544"/>
      <c r="E769" s="544"/>
      <c r="F769" s="544"/>
      <c r="G769" s="544"/>
      <c r="H769" s="544"/>
      <c r="I769" s="543"/>
      <c r="J769" s="543"/>
      <c r="K769" s="544"/>
      <c r="L769" s="543"/>
      <c r="M769" s="544"/>
      <c r="N769" s="543"/>
      <c r="O769" s="544"/>
      <c r="P769" s="544"/>
      <c r="Q769" s="544"/>
      <c r="R769" s="544"/>
      <c r="S769" s="544"/>
    </row>
    <row r="770" ht="14.25" customHeight="1">
      <c r="A770" s="542"/>
      <c r="B770" s="543"/>
      <c r="C770" s="543"/>
      <c r="D770" s="544"/>
      <c r="E770" s="544"/>
      <c r="F770" s="544"/>
      <c r="G770" s="544"/>
      <c r="H770" s="544"/>
      <c r="I770" s="543"/>
      <c r="J770" s="543"/>
      <c r="K770" s="544"/>
      <c r="L770" s="543"/>
      <c r="M770" s="544"/>
      <c r="N770" s="543"/>
      <c r="O770" s="544"/>
      <c r="P770" s="544"/>
      <c r="Q770" s="544"/>
      <c r="R770" s="544"/>
      <c r="S770" s="544"/>
    </row>
    <row r="771" ht="14.25" customHeight="1">
      <c r="A771" s="542"/>
      <c r="B771" s="543"/>
      <c r="C771" s="543"/>
      <c r="D771" s="544"/>
      <c r="E771" s="544"/>
      <c r="F771" s="544"/>
      <c r="G771" s="544"/>
      <c r="H771" s="544"/>
      <c r="I771" s="543"/>
      <c r="J771" s="543"/>
      <c r="K771" s="544"/>
      <c r="L771" s="543"/>
      <c r="M771" s="544"/>
      <c r="N771" s="543"/>
      <c r="O771" s="544"/>
      <c r="P771" s="544"/>
      <c r="Q771" s="544"/>
      <c r="R771" s="544"/>
      <c r="S771" s="544"/>
    </row>
    <row r="772" ht="14.25" customHeight="1">
      <c r="A772" s="542"/>
      <c r="B772" s="543"/>
      <c r="C772" s="543"/>
      <c r="D772" s="544"/>
      <c r="E772" s="544"/>
      <c r="F772" s="544"/>
      <c r="G772" s="544"/>
      <c r="H772" s="544"/>
      <c r="I772" s="543"/>
      <c r="J772" s="543"/>
      <c r="K772" s="544"/>
      <c r="L772" s="543"/>
      <c r="M772" s="544"/>
      <c r="N772" s="543"/>
      <c r="O772" s="544"/>
      <c r="P772" s="544"/>
      <c r="Q772" s="544"/>
      <c r="R772" s="544"/>
      <c r="S772" s="544"/>
    </row>
    <row r="773" ht="14.25" customHeight="1">
      <c r="A773" s="542"/>
      <c r="B773" s="543"/>
      <c r="C773" s="543"/>
      <c r="D773" s="544"/>
      <c r="E773" s="544"/>
      <c r="F773" s="544"/>
      <c r="G773" s="544"/>
      <c r="H773" s="544"/>
      <c r="I773" s="543"/>
      <c r="J773" s="543"/>
      <c r="K773" s="544"/>
      <c r="L773" s="543"/>
      <c r="M773" s="544"/>
      <c r="N773" s="543"/>
      <c r="O773" s="544"/>
      <c r="P773" s="544"/>
      <c r="Q773" s="544"/>
      <c r="R773" s="544"/>
      <c r="S773" s="544"/>
    </row>
    <row r="774" ht="14.25" customHeight="1">
      <c r="A774" s="542"/>
      <c r="B774" s="543"/>
      <c r="C774" s="543"/>
      <c r="D774" s="544"/>
      <c r="E774" s="544"/>
      <c r="F774" s="544"/>
      <c r="G774" s="544"/>
      <c r="H774" s="544"/>
      <c r="I774" s="543"/>
      <c r="J774" s="543"/>
      <c r="K774" s="544"/>
      <c r="L774" s="543"/>
      <c r="M774" s="544"/>
      <c r="N774" s="543"/>
      <c r="O774" s="544"/>
      <c r="P774" s="544"/>
      <c r="Q774" s="544"/>
      <c r="R774" s="544"/>
      <c r="S774" s="544"/>
    </row>
    <row r="775" ht="14.25" customHeight="1">
      <c r="A775" s="542"/>
      <c r="B775" s="543"/>
      <c r="C775" s="543"/>
      <c r="D775" s="544"/>
      <c r="E775" s="544"/>
      <c r="F775" s="544"/>
      <c r="G775" s="544"/>
      <c r="H775" s="544"/>
      <c r="I775" s="543"/>
      <c r="J775" s="543"/>
      <c r="K775" s="544"/>
      <c r="L775" s="543"/>
      <c r="M775" s="544"/>
      <c r="N775" s="543"/>
      <c r="O775" s="544"/>
      <c r="P775" s="544"/>
      <c r="Q775" s="544"/>
      <c r="R775" s="544"/>
      <c r="S775" s="544"/>
    </row>
    <row r="776" ht="14.25" customHeight="1">
      <c r="A776" s="542"/>
      <c r="B776" s="543"/>
      <c r="C776" s="543"/>
      <c r="D776" s="544"/>
      <c r="E776" s="544"/>
      <c r="F776" s="544"/>
      <c r="G776" s="544"/>
      <c r="H776" s="544"/>
      <c r="I776" s="543"/>
      <c r="J776" s="543"/>
      <c r="K776" s="544"/>
      <c r="L776" s="543"/>
      <c r="M776" s="544"/>
      <c r="N776" s="543"/>
      <c r="O776" s="544"/>
      <c r="P776" s="544"/>
      <c r="Q776" s="544"/>
      <c r="R776" s="544"/>
      <c r="S776" s="544"/>
    </row>
    <row r="777" ht="14.25" customHeight="1">
      <c r="A777" s="542"/>
      <c r="B777" s="543"/>
      <c r="C777" s="543"/>
      <c r="D777" s="544"/>
      <c r="E777" s="544"/>
      <c r="F777" s="544"/>
      <c r="G777" s="544"/>
      <c r="H777" s="544"/>
      <c r="I777" s="543"/>
      <c r="J777" s="543"/>
      <c r="K777" s="544"/>
      <c r="L777" s="543"/>
      <c r="M777" s="544"/>
      <c r="N777" s="543"/>
      <c r="O777" s="544"/>
      <c r="P777" s="544"/>
      <c r="Q777" s="544"/>
      <c r="R777" s="544"/>
      <c r="S777" s="544"/>
    </row>
    <row r="778" ht="14.25" customHeight="1">
      <c r="A778" s="542"/>
      <c r="B778" s="543"/>
      <c r="C778" s="543"/>
      <c r="D778" s="544"/>
      <c r="E778" s="544"/>
      <c r="F778" s="544"/>
      <c r="G778" s="544"/>
      <c r="H778" s="544"/>
      <c r="I778" s="543"/>
      <c r="J778" s="543"/>
      <c r="K778" s="544"/>
      <c r="L778" s="543"/>
      <c r="M778" s="544"/>
      <c r="N778" s="543"/>
      <c r="O778" s="544"/>
      <c r="P778" s="544"/>
      <c r="Q778" s="544"/>
      <c r="R778" s="544"/>
      <c r="S778" s="544"/>
    </row>
    <row r="779" ht="14.25" customHeight="1">
      <c r="A779" s="542"/>
      <c r="B779" s="543"/>
      <c r="C779" s="543"/>
      <c r="D779" s="544"/>
      <c r="E779" s="544"/>
      <c r="F779" s="544"/>
      <c r="G779" s="544"/>
      <c r="H779" s="544"/>
      <c r="I779" s="543"/>
      <c r="J779" s="543"/>
      <c r="K779" s="544"/>
      <c r="L779" s="543"/>
      <c r="M779" s="544"/>
      <c r="N779" s="543"/>
      <c r="O779" s="544"/>
      <c r="P779" s="544"/>
      <c r="Q779" s="544"/>
      <c r="R779" s="544"/>
      <c r="S779" s="544"/>
    </row>
    <row r="780" ht="14.25" customHeight="1">
      <c r="A780" s="542"/>
      <c r="B780" s="543"/>
      <c r="C780" s="543"/>
      <c r="D780" s="544"/>
      <c r="E780" s="544"/>
      <c r="F780" s="544"/>
      <c r="G780" s="544"/>
      <c r="H780" s="544"/>
      <c r="I780" s="543"/>
      <c r="J780" s="543"/>
      <c r="K780" s="544"/>
      <c r="L780" s="543"/>
      <c r="M780" s="544"/>
      <c r="N780" s="543"/>
      <c r="O780" s="544"/>
      <c r="P780" s="544"/>
      <c r="Q780" s="544"/>
      <c r="R780" s="544"/>
      <c r="S780" s="544"/>
    </row>
    <row r="781" ht="14.25" customHeight="1">
      <c r="A781" s="542"/>
      <c r="B781" s="543"/>
      <c r="C781" s="543"/>
      <c r="D781" s="544"/>
      <c r="E781" s="544"/>
      <c r="F781" s="544"/>
      <c r="G781" s="544"/>
      <c r="H781" s="544"/>
      <c r="I781" s="543"/>
      <c r="J781" s="543"/>
      <c r="K781" s="544"/>
      <c r="L781" s="543"/>
      <c r="M781" s="544"/>
      <c r="N781" s="543"/>
      <c r="O781" s="544"/>
      <c r="P781" s="544"/>
      <c r="Q781" s="544"/>
      <c r="R781" s="544"/>
      <c r="S781" s="544"/>
    </row>
    <row r="782" ht="14.25" customHeight="1">
      <c r="A782" s="542"/>
      <c r="B782" s="543"/>
      <c r="C782" s="543"/>
      <c r="D782" s="544"/>
      <c r="E782" s="544"/>
      <c r="F782" s="544"/>
      <c r="G782" s="544"/>
      <c r="H782" s="544"/>
      <c r="I782" s="543"/>
      <c r="J782" s="543"/>
      <c r="K782" s="544"/>
      <c r="L782" s="543"/>
      <c r="M782" s="544"/>
      <c r="N782" s="543"/>
      <c r="O782" s="544"/>
      <c r="P782" s="544"/>
      <c r="Q782" s="544"/>
      <c r="R782" s="544"/>
      <c r="S782" s="544"/>
    </row>
    <row r="783" ht="14.25" customHeight="1">
      <c r="A783" s="542"/>
      <c r="B783" s="543"/>
      <c r="C783" s="543"/>
      <c r="D783" s="544"/>
      <c r="E783" s="544"/>
      <c r="F783" s="544"/>
      <c r="G783" s="544"/>
      <c r="H783" s="544"/>
      <c r="I783" s="543"/>
      <c r="J783" s="543"/>
      <c r="K783" s="544"/>
      <c r="L783" s="543"/>
      <c r="M783" s="544"/>
      <c r="N783" s="543"/>
      <c r="O783" s="544"/>
      <c r="P783" s="544"/>
      <c r="Q783" s="544"/>
      <c r="R783" s="544"/>
      <c r="S783" s="544"/>
    </row>
    <row r="784" ht="14.25" customHeight="1">
      <c r="A784" s="542"/>
      <c r="B784" s="543"/>
      <c r="C784" s="543"/>
      <c r="D784" s="544"/>
      <c r="E784" s="544"/>
      <c r="F784" s="544"/>
      <c r="G784" s="544"/>
      <c r="H784" s="544"/>
      <c r="I784" s="543"/>
      <c r="J784" s="543"/>
      <c r="K784" s="544"/>
      <c r="L784" s="543"/>
      <c r="M784" s="544"/>
      <c r="N784" s="543"/>
      <c r="O784" s="544"/>
      <c r="P784" s="544"/>
      <c r="Q784" s="544"/>
      <c r="R784" s="544"/>
      <c r="S784" s="544"/>
    </row>
    <row r="785" ht="14.25" customHeight="1">
      <c r="A785" s="542"/>
      <c r="B785" s="543"/>
      <c r="C785" s="543"/>
      <c r="D785" s="544"/>
      <c r="E785" s="544"/>
      <c r="F785" s="544"/>
      <c r="G785" s="544"/>
      <c r="H785" s="544"/>
      <c r="I785" s="543"/>
      <c r="J785" s="543"/>
      <c r="K785" s="544"/>
      <c r="L785" s="543"/>
      <c r="M785" s="544"/>
      <c r="N785" s="543"/>
      <c r="O785" s="544"/>
      <c r="P785" s="544"/>
      <c r="Q785" s="544"/>
      <c r="R785" s="544"/>
      <c r="S785" s="544"/>
    </row>
    <row r="786" ht="14.25" customHeight="1">
      <c r="A786" s="542"/>
      <c r="B786" s="543"/>
      <c r="C786" s="543"/>
      <c r="D786" s="544"/>
      <c r="E786" s="544"/>
      <c r="F786" s="544"/>
      <c r="G786" s="544"/>
      <c r="H786" s="544"/>
      <c r="I786" s="543"/>
      <c r="J786" s="543"/>
      <c r="K786" s="544"/>
      <c r="L786" s="543"/>
      <c r="M786" s="544"/>
      <c r="N786" s="543"/>
      <c r="O786" s="544"/>
      <c r="P786" s="544"/>
      <c r="Q786" s="544"/>
      <c r="R786" s="544"/>
      <c r="S786" s="544"/>
    </row>
    <row r="787" ht="14.25" customHeight="1">
      <c r="A787" s="542"/>
      <c r="B787" s="543"/>
      <c r="C787" s="543"/>
      <c r="D787" s="544"/>
      <c r="E787" s="544"/>
      <c r="F787" s="544"/>
      <c r="G787" s="544"/>
      <c r="H787" s="544"/>
      <c r="I787" s="543"/>
      <c r="J787" s="543"/>
      <c r="K787" s="544"/>
      <c r="L787" s="543"/>
      <c r="M787" s="544"/>
      <c r="N787" s="543"/>
      <c r="O787" s="544"/>
      <c r="P787" s="544"/>
      <c r="Q787" s="544"/>
      <c r="R787" s="544"/>
      <c r="S787" s="544"/>
    </row>
    <row r="788" ht="14.25" customHeight="1">
      <c r="A788" s="542"/>
      <c r="B788" s="543"/>
      <c r="C788" s="543"/>
      <c r="D788" s="544"/>
      <c r="E788" s="544"/>
      <c r="F788" s="544"/>
      <c r="G788" s="544"/>
      <c r="H788" s="544"/>
      <c r="I788" s="543"/>
      <c r="J788" s="543"/>
      <c r="K788" s="544"/>
      <c r="L788" s="543"/>
      <c r="M788" s="544"/>
      <c r="N788" s="543"/>
      <c r="O788" s="544"/>
      <c r="P788" s="544"/>
      <c r="Q788" s="544"/>
      <c r="R788" s="544"/>
      <c r="S788" s="544"/>
    </row>
    <row r="789" ht="14.25" customHeight="1">
      <c r="A789" s="542"/>
      <c r="B789" s="543"/>
      <c r="C789" s="543"/>
      <c r="D789" s="544"/>
      <c r="E789" s="544"/>
      <c r="F789" s="544"/>
      <c r="G789" s="544"/>
      <c r="H789" s="544"/>
      <c r="I789" s="543"/>
      <c r="J789" s="543"/>
      <c r="K789" s="544"/>
      <c r="L789" s="543"/>
      <c r="M789" s="544"/>
      <c r="N789" s="543"/>
      <c r="O789" s="544"/>
      <c r="P789" s="544"/>
      <c r="Q789" s="544"/>
      <c r="R789" s="544"/>
      <c r="S789" s="544"/>
    </row>
    <row r="790" ht="14.25" customHeight="1">
      <c r="A790" s="542"/>
      <c r="B790" s="543"/>
      <c r="C790" s="543"/>
      <c r="D790" s="544"/>
      <c r="E790" s="544"/>
      <c r="F790" s="544"/>
      <c r="G790" s="544"/>
      <c r="H790" s="544"/>
      <c r="I790" s="543"/>
      <c r="J790" s="543"/>
      <c r="K790" s="544"/>
      <c r="L790" s="543"/>
      <c r="M790" s="544"/>
      <c r="N790" s="543"/>
      <c r="O790" s="544"/>
      <c r="P790" s="544"/>
      <c r="Q790" s="544"/>
      <c r="R790" s="544"/>
      <c r="S790" s="544"/>
    </row>
    <row r="791" ht="14.25" customHeight="1">
      <c r="A791" s="542"/>
      <c r="B791" s="543"/>
      <c r="C791" s="543"/>
      <c r="D791" s="544"/>
      <c r="E791" s="544"/>
      <c r="F791" s="544"/>
      <c r="G791" s="544"/>
      <c r="H791" s="544"/>
      <c r="I791" s="543"/>
      <c r="J791" s="543"/>
      <c r="K791" s="544"/>
      <c r="L791" s="543"/>
      <c r="M791" s="544"/>
      <c r="N791" s="543"/>
      <c r="O791" s="544"/>
      <c r="P791" s="544"/>
      <c r="Q791" s="544"/>
      <c r="R791" s="544"/>
      <c r="S791" s="544"/>
    </row>
    <row r="792" ht="14.25" customHeight="1">
      <c r="A792" s="542"/>
      <c r="B792" s="543"/>
      <c r="C792" s="543"/>
      <c r="D792" s="544"/>
      <c r="E792" s="544"/>
      <c r="F792" s="544"/>
      <c r="G792" s="544"/>
      <c r="H792" s="544"/>
      <c r="I792" s="543"/>
      <c r="J792" s="543"/>
      <c r="K792" s="544"/>
      <c r="L792" s="543"/>
      <c r="M792" s="544"/>
      <c r="N792" s="543"/>
      <c r="O792" s="544"/>
      <c r="P792" s="544"/>
      <c r="Q792" s="544"/>
      <c r="R792" s="544"/>
      <c r="S792" s="544"/>
    </row>
    <row r="793" ht="14.25" customHeight="1">
      <c r="A793" s="542"/>
      <c r="B793" s="543"/>
      <c r="C793" s="543"/>
      <c r="D793" s="544"/>
      <c r="E793" s="544"/>
      <c r="F793" s="544"/>
      <c r="G793" s="544"/>
      <c r="H793" s="544"/>
      <c r="I793" s="543"/>
      <c r="J793" s="543"/>
      <c r="K793" s="544"/>
      <c r="L793" s="543"/>
      <c r="M793" s="544"/>
      <c r="N793" s="543"/>
      <c r="O793" s="544"/>
      <c r="P793" s="544"/>
      <c r="Q793" s="544"/>
      <c r="R793" s="544"/>
      <c r="S793" s="544"/>
    </row>
    <row r="794" ht="14.25" customHeight="1">
      <c r="A794" s="542"/>
      <c r="B794" s="543"/>
      <c r="C794" s="543"/>
      <c r="D794" s="544"/>
      <c r="E794" s="544"/>
      <c r="F794" s="544"/>
      <c r="G794" s="544"/>
      <c r="H794" s="544"/>
      <c r="I794" s="543"/>
      <c r="J794" s="543"/>
      <c r="K794" s="544"/>
      <c r="L794" s="543"/>
      <c r="M794" s="544"/>
      <c r="N794" s="543"/>
      <c r="O794" s="544"/>
      <c r="P794" s="544"/>
      <c r="Q794" s="544"/>
      <c r="R794" s="544"/>
      <c r="S794" s="544"/>
    </row>
    <row r="795" ht="14.25" customHeight="1">
      <c r="A795" s="542"/>
      <c r="B795" s="543"/>
      <c r="C795" s="543"/>
      <c r="D795" s="544"/>
      <c r="E795" s="544"/>
      <c r="F795" s="544"/>
      <c r="G795" s="544"/>
      <c r="H795" s="544"/>
      <c r="I795" s="543"/>
      <c r="J795" s="543"/>
      <c r="K795" s="544"/>
      <c r="L795" s="543"/>
      <c r="M795" s="544"/>
      <c r="N795" s="543"/>
      <c r="O795" s="544"/>
      <c r="P795" s="544"/>
      <c r="Q795" s="544"/>
      <c r="R795" s="544"/>
      <c r="S795" s="544"/>
    </row>
    <row r="796" ht="14.25" customHeight="1">
      <c r="A796" s="542"/>
      <c r="B796" s="543"/>
      <c r="C796" s="543"/>
      <c r="D796" s="544"/>
      <c r="E796" s="544"/>
      <c r="F796" s="544"/>
      <c r="G796" s="544"/>
      <c r="H796" s="544"/>
      <c r="I796" s="543"/>
      <c r="J796" s="543"/>
      <c r="K796" s="544"/>
      <c r="L796" s="543"/>
      <c r="M796" s="544"/>
      <c r="N796" s="543"/>
      <c r="O796" s="544"/>
      <c r="P796" s="544"/>
      <c r="Q796" s="544"/>
      <c r="R796" s="544"/>
      <c r="S796" s="544"/>
    </row>
    <row r="797" ht="14.25" customHeight="1">
      <c r="A797" s="542"/>
      <c r="B797" s="543"/>
      <c r="C797" s="543"/>
      <c r="D797" s="544"/>
      <c r="E797" s="544"/>
      <c r="F797" s="544"/>
      <c r="G797" s="544"/>
      <c r="H797" s="544"/>
      <c r="I797" s="543"/>
      <c r="J797" s="543"/>
      <c r="K797" s="544"/>
      <c r="L797" s="543"/>
      <c r="M797" s="544"/>
      <c r="N797" s="543"/>
      <c r="O797" s="544"/>
      <c r="P797" s="544"/>
      <c r="Q797" s="544"/>
      <c r="R797" s="544"/>
      <c r="S797" s="544"/>
    </row>
    <row r="798" ht="14.25" customHeight="1">
      <c r="A798" s="542"/>
      <c r="B798" s="543"/>
      <c r="C798" s="543"/>
      <c r="D798" s="544"/>
      <c r="E798" s="544"/>
      <c r="F798" s="544"/>
      <c r="G798" s="544"/>
      <c r="H798" s="544"/>
      <c r="I798" s="543"/>
      <c r="J798" s="543"/>
      <c r="K798" s="544"/>
      <c r="L798" s="543"/>
      <c r="M798" s="544"/>
      <c r="N798" s="543"/>
      <c r="O798" s="544"/>
      <c r="P798" s="544"/>
      <c r="Q798" s="544"/>
      <c r="R798" s="544"/>
      <c r="S798" s="544"/>
    </row>
    <row r="799" ht="14.25" customHeight="1">
      <c r="A799" s="542"/>
      <c r="B799" s="543"/>
      <c r="C799" s="543"/>
      <c r="D799" s="544"/>
      <c r="E799" s="544"/>
      <c r="F799" s="544"/>
      <c r="G799" s="544"/>
      <c r="H799" s="544"/>
      <c r="I799" s="543"/>
      <c r="J799" s="543"/>
      <c r="K799" s="544"/>
      <c r="L799" s="543"/>
      <c r="M799" s="544"/>
      <c r="N799" s="543"/>
      <c r="O799" s="544"/>
      <c r="P799" s="544"/>
      <c r="Q799" s="544"/>
      <c r="R799" s="544"/>
      <c r="S799" s="544"/>
    </row>
    <row r="800" ht="14.25" customHeight="1">
      <c r="A800" s="542"/>
      <c r="B800" s="543"/>
      <c r="C800" s="543"/>
      <c r="D800" s="544"/>
      <c r="E800" s="544"/>
      <c r="F800" s="544"/>
      <c r="G800" s="544"/>
      <c r="H800" s="544"/>
      <c r="I800" s="543"/>
      <c r="J800" s="543"/>
      <c r="K800" s="544"/>
      <c r="L800" s="543"/>
      <c r="M800" s="544"/>
      <c r="N800" s="543"/>
      <c r="O800" s="544"/>
      <c r="P800" s="544"/>
      <c r="Q800" s="544"/>
      <c r="R800" s="544"/>
      <c r="S800" s="544"/>
    </row>
    <row r="801" ht="14.25" customHeight="1">
      <c r="A801" s="542"/>
      <c r="B801" s="543"/>
      <c r="C801" s="543"/>
      <c r="D801" s="544"/>
      <c r="E801" s="544"/>
      <c r="F801" s="544"/>
      <c r="G801" s="544"/>
      <c r="H801" s="544"/>
      <c r="I801" s="543"/>
      <c r="J801" s="543"/>
      <c r="K801" s="544"/>
      <c r="L801" s="543"/>
      <c r="M801" s="544"/>
      <c r="N801" s="543"/>
      <c r="O801" s="544"/>
      <c r="P801" s="544"/>
      <c r="Q801" s="544"/>
      <c r="R801" s="544"/>
      <c r="S801" s="544"/>
    </row>
    <row r="802" ht="14.25" customHeight="1">
      <c r="A802" s="542"/>
      <c r="B802" s="543"/>
      <c r="C802" s="543"/>
      <c r="D802" s="544"/>
      <c r="E802" s="544"/>
      <c r="F802" s="544"/>
      <c r="G802" s="544"/>
      <c r="H802" s="544"/>
      <c r="I802" s="543"/>
      <c r="J802" s="543"/>
      <c r="K802" s="544"/>
      <c r="L802" s="543"/>
      <c r="M802" s="544"/>
      <c r="N802" s="543"/>
      <c r="O802" s="544"/>
      <c r="P802" s="544"/>
      <c r="Q802" s="544"/>
      <c r="R802" s="544"/>
      <c r="S802" s="544"/>
    </row>
    <row r="803" ht="14.25" customHeight="1">
      <c r="A803" s="542"/>
      <c r="B803" s="543"/>
      <c r="C803" s="543"/>
      <c r="D803" s="544"/>
      <c r="E803" s="544"/>
      <c r="F803" s="544"/>
      <c r="G803" s="544"/>
      <c r="H803" s="544"/>
      <c r="I803" s="543"/>
      <c r="J803" s="543"/>
      <c r="K803" s="544"/>
      <c r="L803" s="543"/>
      <c r="M803" s="544"/>
      <c r="N803" s="543"/>
      <c r="O803" s="544"/>
      <c r="P803" s="544"/>
      <c r="Q803" s="544"/>
      <c r="R803" s="544"/>
      <c r="S803" s="544"/>
    </row>
    <row r="804" ht="14.25" customHeight="1">
      <c r="A804" s="542"/>
      <c r="B804" s="543"/>
      <c r="C804" s="543"/>
      <c r="D804" s="544"/>
      <c r="E804" s="544"/>
      <c r="F804" s="544"/>
      <c r="G804" s="544"/>
      <c r="H804" s="544"/>
      <c r="I804" s="543"/>
      <c r="J804" s="543"/>
      <c r="K804" s="544"/>
      <c r="L804" s="543"/>
      <c r="M804" s="544"/>
      <c r="N804" s="543"/>
      <c r="O804" s="544"/>
      <c r="P804" s="544"/>
      <c r="Q804" s="544"/>
      <c r="R804" s="544"/>
      <c r="S804" s="544"/>
    </row>
    <row r="805" ht="14.25" customHeight="1">
      <c r="A805" s="542"/>
      <c r="B805" s="543"/>
      <c r="C805" s="543"/>
      <c r="D805" s="544"/>
      <c r="E805" s="544"/>
      <c r="F805" s="544"/>
      <c r="G805" s="544"/>
      <c r="H805" s="544"/>
      <c r="I805" s="543"/>
      <c r="J805" s="543"/>
      <c r="K805" s="544"/>
      <c r="L805" s="543"/>
      <c r="M805" s="544"/>
      <c r="N805" s="543"/>
      <c r="O805" s="544"/>
      <c r="P805" s="544"/>
      <c r="Q805" s="544"/>
      <c r="R805" s="544"/>
      <c r="S805" s="544"/>
    </row>
    <row r="806" ht="14.25" customHeight="1">
      <c r="A806" s="542"/>
      <c r="B806" s="543"/>
      <c r="C806" s="543"/>
      <c r="D806" s="544"/>
      <c r="E806" s="544"/>
      <c r="F806" s="544"/>
      <c r="G806" s="544"/>
      <c r="H806" s="544"/>
      <c r="I806" s="543"/>
      <c r="J806" s="543"/>
      <c r="K806" s="544"/>
      <c r="L806" s="543"/>
      <c r="M806" s="544"/>
      <c r="N806" s="543"/>
      <c r="O806" s="544"/>
      <c r="P806" s="544"/>
      <c r="Q806" s="544"/>
      <c r="R806" s="544"/>
      <c r="S806" s="544"/>
    </row>
    <row r="807" ht="14.25" customHeight="1">
      <c r="A807" s="542"/>
      <c r="B807" s="543"/>
      <c r="C807" s="543"/>
      <c r="D807" s="544"/>
      <c r="E807" s="544"/>
      <c r="F807" s="544"/>
      <c r="G807" s="544"/>
      <c r="H807" s="544"/>
      <c r="I807" s="543"/>
      <c r="J807" s="543"/>
      <c r="K807" s="544"/>
      <c r="L807" s="543"/>
      <c r="M807" s="544"/>
      <c r="N807" s="543"/>
      <c r="O807" s="544"/>
      <c r="P807" s="544"/>
      <c r="Q807" s="544"/>
      <c r="R807" s="544"/>
      <c r="S807" s="544"/>
    </row>
    <row r="808" ht="14.25" customHeight="1">
      <c r="A808" s="542"/>
      <c r="B808" s="543"/>
      <c r="C808" s="543"/>
      <c r="D808" s="544"/>
      <c r="E808" s="544"/>
      <c r="F808" s="544"/>
      <c r="G808" s="544"/>
      <c r="H808" s="544"/>
      <c r="I808" s="543"/>
      <c r="J808" s="543"/>
      <c r="K808" s="544"/>
      <c r="L808" s="543"/>
      <c r="M808" s="544"/>
      <c r="N808" s="543"/>
      <c r="O808" s="544"/>
      <c r="P808" s="544"/>
      <c r="Q808" s="544"/>
      <c r="R808" s="544"/>
      <c r="S808" s="544"/>
    </row>
    <row r="809" ht="14.25" customHeight="1">
      <c r="A809" s="542"/>
      <c r="B809" s="543"/>
      <c r="C809" s="543"/>
      <c r="D809" s="544"/>
      <c r="E809" s="544"/>
      <c r="F809" s="544"/>
      <c r="G809" s="544"/>
      <c r="H809" s="544"/>
      <c r="I809" s="543"/>
      <c r="J809" s="543"/>
      <c r="K809" s="544"/>
      <c r="L809" s="543"/>
      <c r="M809" s="544"/>
      <c r="N809" s="543"/>
      <c r="O809" s="544"/>
      <c r="P809" s="544"/>
      <c r="Q809" s="544"/>
      <c r="R809" s="544"/>
      <c r="S809" s="544"/>
    </row>
    <row r="810" ht="14.25" customHeight="1">
      <c r="A810" s="542"/>
      <c r="B810" s="543"/>
      <c r="C810" s="543"/>
      <c r="D810" s="544"/>
      <c r="E810" s="544"/>
      <c r="F810" s="544"/>
      <c r="G810" s="544"/>
      <c r="H810" s="544"/>
      <c r="I810" s="543"/>
      <c r="J810" s="543"/>
      <c r="K810" s="544"/>
      <c r="L810" s="543"/>
      <c r="M810" s="544"/>
      <c r="N810" s="543"/>
      <c r="O810" s="544"/>
      <c r="P810" s="544"/>
      <c r="Q810" s="544"/>
      <c r="R810" s="544"/>
      <c r="S810" s="544"/>
    </row>
    <row r="811" ht="14.25" customHeight="1">
      <c r="A811" s="542"/>
      <c r="B811" s="543"/>
      <c r="C811" s="543"/>
      <c r="D811" s="544"/>
      <c r="E811" s="544"/>
      <c r="F811" s="544"/>
      <c r="G811" s="544"/>
      <c r="H811" s="544"/>
      <c r="I811" s="543"/>
      <c r="J811" s="543"/>
      <c r="K811" s="544"/>
      <c r="L811" s="543"/>
      <c r="M811" s="544"/>
      <c r="N811" s="543"/>
      <c r="O811" s="544"/>
      <c r="P811" s="544"/>
      <c r="Q811" s="544"/>
      <c r="R811" s="544"/>
      <c r="S811" s="544"/>
    </row>
    <row r="812" ht="14.25" customHeight="1">
      <c r="A812" s="542"/>
      <c r="B812" s="543"/>
      <c r="C812" s="543"/>
      <c r="D812" s="544"/>
      <c r="E812" s="544"/>
      <c r="F812" s="544"/>
      <c r="G812" s="544"/>
      <c r="H812" s="544"/>
      <c r="I812" s="543"/>
      <c r="J812" s="543"/>
      <c r="K812" s="544"/>
      <c r="L812" s="543"/>
      <c r="M812" s="544"/>
      <c r="N812" s="543"/>
      <c r="O812" s="544"/>
      <c r="P812" s="544"/>
      <c r="Q812" s="544"/>
      <c r="R812" s="544"/>
      <c r="S812" s="544"/>
    </row>
    <row r="813" ht="14.25" customHeight="1">
      <c r="A813" s="542"/>
      <c r="B813" s="543"/>
      <c r="C813" s="543"/>
      <c r="D813" s="544"/>
      <c r="E813" s="544"/>
      <c r="F813" s="544"/>
      <c r="G813" s="544"/>
      <c r="H813" s="544"/>
      <c r="I813" s="543"/>
      <c r="J813" s="543"/>
      <c r="K813" s="544"/>
      <c r="L813" s="543"/>
      <c r="M813" s="544"/>
      <c r="N813" s="543"/>
      <c r="O813" s="544"/>
      <c r="P813" s="544"/>
      <c r="Q813" s="544"/>
      <c r="R813" s="544"/>
      <c r="S813" s="544"/>
    </row>
    <row r="814" ht="14.25" customHeight="1">
      <c r="A814" s="542"/>
      <c r="B814" s="543"/>
      <c r="C814" s="543"/>
      <c r="D814" s="544"/>
      <c r="E814" s="544"/>
      <c r="F814" s="544"/>
      <c r="G814" s="544"/>
      <c r="H814" s="544"/>
      <c r="I814" s="543"/>
      <c r="J814" s="543"/>
      <c r="K814" s="544"/>
      <c r="L814" s="543"/>
      <c r="M814" s="544"/>
      <c r="N814" s="543"/>
      <c r="O814" s="544"/>
      <c r="P814" s="544"/>
      <c r="Q814" s="544"/>
      <c r="R814" s="544"/>
      <c r="S814" s="544"/>
    </row>
    <row r="815" ht="14.25" customHeight="1">
      <c r="A815" s="542"/>
      <c r="B815" s="543"/>
      <c r="C815" s="543"/>
      <c r="D815" s="544"/>
      <c r="E815" s="544"/>
      <c r="F815" s="544"/>
      <c r="G815" s="544"/>
      <c r="H815" s="544"/>
      <c r="I815" s="543"/>
      <c r="J815" s="543"/>
      <c r="K815" s="544"/>
      <c r="L815" s="543"/>
      <c r="M815" s="544"/>
      <c r="N815" s="543"/>
      <c r="O815" s="544"/>
      <c r="P815" s="544"/>
      <c r="Q815" s="544"/>
      <c r="R815" s="544"/>
      <c r="S815" s="544"/>
    </row>
    <row r="816" ht="14.25" customHeight="1">
      <c r="A816" s="542"/>
      <c r="B816" s="543"/>
      <c r="C816" s="543"/>
      <c r="D816" s="544"/>
      <c r="E816" s="544"/>
      <c r="F816" s="544"/>
      <c r="G816" s="544"/>
      <c r="H816" s="544"/>
      <c r="I816" s="543"/>
      <c r="J816" s="543"/>
      <c r="K816" s="544"/>
      <c r="L816" s="543"/>
      <c r="M816" s="544"/>
      <c r="N816" s="543"/>
      <c r="O816" s="544"/>
      <c r="P816" s="544"/>
      <c r="Q816" s="544"/>
      <c r="R816" s="544"/>
      <c r="S816" s="544"/>
    </row>
    <row r="817" ht="14.25" customHeight="1">
      <c r="A817" s="542"/>
      <c r="B817" s="543"/>
      <c r="C817" s="543"/>
      <c r="D817" s="544"/>
      <c r="E817" s="544"/>
      <c r="F817" s="544"/>
      <c r="G817" s="544"/>
      <c r="H817" s="544"/>
      <c r="I817" s="543"/>
      <c r="J817" s="543"/>
      <c r="K817" s="544"/>
      <c r="L817" s="543"/>
      <c r="M817" s="544"/>
      <c r="N817" s="543"/>
      <c r="O817" s="544"/>
      <c r="P817" s="544"/>
      <c r="Q817" s="544"/>
      <c r="R817" s="544"/>
      <c r="S817" s="544"/>
    </row>
    <row r="818" ht="14.25" customHeight="1">
      <c r="A818" s="542"/>
      <c r="B818" s="543"/>
      <c r="C818" s="543"/>
      <c r="D818" s="544"/>
      <c r="E818" s="544"/>
      <c r="F818" s="544"/>
      <c r="G818" s="544"/>
      <c r="H818" s="544"/>
      <c r="I818" s="543"/>
      <c r="J818" s="543"/>
      <c r="K818" s="544"/>
      <c r="L818" s="543"/>
      <c r="M818" s="544"/>
      <c r="N818" s="543"/>
      <c r="O818" s="544"/>
      <c r="P818" s="544"/>
      <c r="Q818" s="544"/>
      <c r="R818" s="544"/>
      <c r="S818" s="544"/>
    </row>
    <row r="819" ht="14.25" customHeight="1">
      <c r="A819" s="542"/>
      <c r="B819" s="543"/>
      <c r="C819" s="543"/>
      <c r="D819" s="544"/>
      <c r="E819" s="544"/>
      <c r="F819" s="544"/>
      <c r="G819" s="544"/>
      <c r="H819" s="544"/>
      <c r="I819" s="543"/>
      <c r="J819" s="543"/>
      <c r="K819" s="544"/>
      <c r="L819" s="543"/>
      <c r="M819" s="544"/>
      <c r="N819" s="543"/>
      <c r="O819" s="544"/>
      <c r="P819" s="544"/>
      <c r="Q819" s="544"/>
      <c r="R819" s="544"/>
      <c r="S819" s="544"/>
    </row>
    <row r="820" ht="14.25" customHeight="1">
      <c r="A820" s="542"/>
      <c r="B820" s="543"/>
      <c r="C820" s="543"/>
      <c r="D820" s="544"/>
      <c r="E820" s="544"/>
      <c r="F820" s="544"/>
      <c r="G820" s="544"/>
      <c r="H820" s="544"/>
      <c r="I820" s="543"/>
      <c r="J820" s="543"/>
      <c r="K820" s="544"/>
      <c r="L820" s="543"/>
      <c r="M820" s="544"/>
      <c r="N820" s="543"/>
      <c r="O820" s="544"/>
      <c r="P820" s="544"/>
      <c r="Q820" s="544"/>
      <c r="R820" s="544"/>
      <c r="S820" s="544"/>
    </row>
    <row r="821" ht="14.25" customHeight="1">
      <c r="A821" s="542"/>
      <c r="B821" s="543"/>
      <c r="C821" s="543"/>
      <c r="D821" s="544"/>
      <c r="E821" s="544"/>
      <c r="F821" s="544"/>
      <c r="G821" s="544"/>
      <c r="H821" s="544"/>
      <c r="I821" s="543"/>
      <c r="J821" s="543"/>
      <c r="K821" s="544"/>
      <c r="L821" s="543"/>
      <c r="M821" s="544"/>
      <c r="N821" s="543"/>
      <c r="O821" s="544"/>
      <c r="P821" s="544"/>
      <c r="Q821" s="544"/>
      <c r="R821" s="544"/>
      <c r="S821" s="544"/>
    </row>
    <row r="822" ht="14.25" customHeight="1">
      <c r="A822" s="542"/>
      <c r="B822" s="543"/>
      <c r="C822" s="543"/>
      <c r="D822" s="544"/>
      <c r="E822" s="544"/>
      <c r="F822" s="544"/>
      <c r="G822" s="544"/>
      <c r="H822" s="544"/>
      <c r="I822" s="543"/>
      <c r="J822" s="543"/>
      <c r="K822" s="544"/>
      <c r="L822" s="543"/>
      <c r="M822" s="544"/>
      <c r="N822" s="543"/>
      <c r="O822" s="544"/>
      <c r="P822" s="544"/>
      <c r="Q822" s="544"/>
      <c r="R822" s="544"/>
      <c r="S822" s="544"/>
    </row>
    <row r="823" ht="14.25" customHeight="1">
      <c r="A823" s="542"/>
      <c r="B823" s="543"/>
      <c r="C823" s="543"/>
      <c r="D823" s="544"/>
      <c r="E823" s="544"/>
      <c r="F823" s="544"/>
      <c r="G823" s="544"/>
      <c r="H823" s="544"/>
      <c r="I823" s="543"/>
      <c r="J823" s="543"/>
      <c r="K823" s="544"/>
      <c r="L823" s="543"/>
      <c r="M823" s="544"/>
      <c r="N823" s="543"/>
      <c r="O823" s="544"/>
      <c r="P823" s="544"/>
      <c r="Q823" s="544"/>
      <c r="R823" s="544"/>
      <c r="S823" s="544"/>
    </row>
    <row r="824" ht="14.25" customHeight="1">
      <c r="A824" s="542"/>
      <c r="B824" s="543"/>
      <c r="C824" s="543"/>
      <c r="D824" s="544"/>
      <c r="E824" s="544"/>
      <c r="F824" s="544"/>
      <c r="G824" s="544"/>
      <c r="H824" s="544"/>
      <c r="I824" s="543"/>
      <c r="J824" s="543"/>
      <c r="K824" s="544"/>
      <c r="L824" s="543"/>
      <c r="M824" s="544"/>
      <c r="N824" s="543"/>
      <c r="O824" s="544"/>
      <c r="P824" s="544"/>
      <c r="Q824" s="544"/>
      <c r="R824" s="544"/>
      <c r="S824" s="544"/>
    </row>
    <row r="825" ht="14.25" customHeight="1">
      <c r="A825" s="542"/>
      <c r="B825" s="543"/>
      <c r="C825" s="543"/>
      <c r="D825" s="544"/>
      <c r="E825" s="544"/>
      <c r="F825" s="544"/>
      <c r="G825" s="544"/>
      <c r="H825" s="544"/>
      <c r="I825" s="543"/>
      <c r="J825" s="543"/>
      <c r="K825" s="544"/>
      <c r="L825" s="543"/>
      <c r="M825" s="544"/>
      <c r="N825" s="543"/>
      <c r="O825" s="544"/>
      <c r="P825" s="544"/>
      <c r="Q825" s="544"/>
      <c r="R825" s="544"/>
      <c r="S825" s="544"/>
    </row>
    <row r="826" ht="14.25" customHeight="1">
      <c r="A826" s="542"/>
      <c r="B826" s="543"/>
      <c r="C826" s="543"/>
      <c r="D826" s="544"/>
      <c r="E826" s="544"/>
      <c r="F826" s="544"/>
      <c r="G826" s="544"/>
      <c r="H826" s="544"/>
      <c r="I826" s="543"/>
      <c r="J826" s="543"/>
      <c r="K826" s="544"/>
      <c r="L826" s="543"/>
      <c r="M826" s="544"/>
      <c r="N826" s="543"/>
      <c r="O826" s="544"/>
      <c r="P826" s="544"/>
      <c r="Q826" s="544"/>
      <c r="R826" s="544"/>
      <c r="S826" s="544"/>
    </row>
    <row r="827" ht="14.25" customHeight="1">
      <c r="A827" s="542"/>
      <c r="B827" s="543"/>
      <c r="C827" s="543"/>
      <c r="D827" s="544"/>
      <c r="E827" s="544"/>
      <c r="F827" s="544"/>
      <c r="G827" s="544"/>
      <c r="H827" s="544"/>
      <c r="I827" s="543"/>
      <c r="J827" s="543"/>
      <c r="K827" s="544"/>
      <c r="L827" s="543"/>
      <c r="M827" s="544"/>
      <c r="N827" s="543"/>
      <c r="O827" s="544"/>
      <c r="P827" s="544"/>
      <c r="Q827" s="544"/>
      <c r="R827" s="544"/>
      <c r="S827" s="544"/>
    </row>
    <row r="828" ht="14.25" customHeight="1">
      <c r="A828" s="542"/>
      <c r="B828" s="543"/>
      <c r="C828" s="543"/>
      <c r="D828" s="544"/>
      <c r="E828" s="544"/>
      <c r="F828" s="544"/>
      <c r="G828" s="544"/>
      <c r="H828" s="544"/>
      <c r="I828" s="543"/>
      <c r="J828" s="543"/>
      <c r="K828" s="544"/>
      <c r="L828" s="543"/>
      <c r="M828" s="544"/>
      <c r="N828" s="543"/>
      <c r="O828" s="544"/>
      <c r="P828" s="544"/>
      <c r="Q828" s="544"/>
      <c r="R828" s="544"/>
      <c r="S828" s="544"/>
    </row>
    <row r="829" ht="14.25" customHeight="1">
      <c r="A829" s="542"/>
      <c r="B829" s="543"/>
      <c r="C829" s="543"/>
      <c r="D829" s="544"/>
      <c r="E829" s="544"/>
      <c r="F829" s="544"/>
      <c r="G829" s="544"/>
      <c r="H829" s="544"/>
      <c r="I829" s="543"/>
      <c r="J829" s="543"/>
      <c r="K829" s="544"/>
      <c r="L829" s="543"/>
      <c r="M829" s="544"/>
      <c r="N829" s="543"/>
      <c r="O829" s="544"/>
      <c r="P829" s="544"/>
      <c r="Q829" s="544"/>
      <c r="R829" s="544"/>
      <c r="S829" s="544"/>
    </row>
    <row r="830" ht="14.25" customHeight="1">
      <c r="A830" s="542"/>
      <c r="B830" s="543"/>
      <c r="C830" s="543"/>
      <c r="D830" s="544"/>
      <c r="E830" s="544"/>
      <c r="F830" s="544"/>
      <c r="G830" s="544"/>
      <c r="H830" s="544"/>
      <c r="I830" s="543"/>
      <c r="J830" s="543"/>
      <c r="K830" s="544"/>
      <c r="L830" s="543"/>
      <c r="M830" s="544"/>
      <c r="N830" s="543"/>
      <c r="O830" s="544"/>
      <c r="P830" s="544"/>
      <c r="Q830" s="544"/>
      <c r="R830" s="544"/>
      <c r="S830" s="544"/>
    </row>
    <row r="831" ht="14.25" customHeight="1">
      <c r="A831" s="542"/>
      <c r="B831" s="543"/>
      <c r="C831" s="543"/>
      <c r="D831" s="544"/>
      <c r="E831" s="544"/>
      <c r="F831" s="544"/>
      <c r="G831" s="544"/>
      <c r="H831" s="544"/>
      <c r="I831" s="543"/>
      <c r="J831" s="543"/>
      <c r="K831" s="544"/>
      <c r="L831" s="543"/>
      <c r="M831" s="544"/>
      <c r="N831" s="543"/>
      <c r="O831" s="544"/>
      <c r="P831" s="544"/>
      <c r="Q831" s="544"/>
      <c r="R831" s="544"/>
      <c r="S831" s="544"/>
    </row>
    <row r="832" ht="14.25" customHeight="1">
      <c r="A832" s="542"/>
      <c r="B832" s="543"/>
      <c r="C832" s="543"/>
      <c r="D832" s="544"/>
      <c r="E832" s="544"/>
      <c r="F832" s="544"/>
      <c r="G832" s="544"/>
      <c r="H832" s="544"/>
      <c r="I832" s="543"/>
      <c r="J832" s="543"/>
      <c r="K832" s="544"/>
      <c r="L832" s="543"/>
      <c r="M832" s="544"/>
      <c r="N832" s="543"/>
      <c r="O832" s="544"/>
      <c r="P832" s="544"/>
      <c r="Q832" s="544"/>
      <c r="R832" s="544"/>
      <c r="S832" s="544"/>
    </row>
    <row r="833" ht="14.25" customHeight="1">
      <c r="A833" s="542"/>
      <c r="B833" s="543"/>
      <c r="C833" s="543"/>
      <c r="D833" s="544"/>
      <c r="E833" s="544"/>
      <c r="F833" s="544"/>
      <c r="G833" s="544"/>
      <c r="H833" s="544"/>
      <c r="I833" s="543"/>
      <c r="J833" s="543"/>
      <c r="K833" s="544"/>
      <c r="L833" s="543"/>
      <c r="M833" s="544"/>
      <c r="N833" s="543"/>
      <c r="O833" s="544"/>
      <c r="P833" s="544"/>
      <c r="Q833" s="544"/>
      <c r="R833" s="544"/>
      <c r="S833" s="544"/>
    </row>
    <row r="834" ht="14.25" customHeight="1">
      <c r="A834" s="542"/>
      <c r="B834" s="543"/>
      <c r="C834" s="543"/>
      <c r="D834" s="544"/>
      <c r="E834" s="544"/>
      <c r="F834" s="544"/>
      <c r="G834" s="544"/>
      <c r="H834" s="544"/>
      <c r="I834" s="543"/>
      <c r="J834" s="543"/>
      <c r="K834" s="544"/>
      <c r="L834" s="543"/>
      <c r="M834" s="544"/>
      <c r="N834" s="543"/>
      <c r="O834" s="544"/>
      <c r="P834" s="544"/>
      <c r="Q834" s="544"/>
      <c r="R834" s="544"/>
      <c r="S834" s="544"/>
    </row>
    <row r="835" ht="14.25" customHeight="1">
      <c r="A835" s="542"/>
      <c r="B835" s="543"/>
      <c r="C835" s="543"/>
      <c r="D835" s="544"/>
      <c r="E835" s="544"/>
      <c r="F835" s="544"/>
      <c r="G835" s="544"/>
      <c r="H835" s="544"/>
      <c r="I835" s="543"/>
      <c r="J835" s="543"/>
      <c r="K835" s="544"/>
      <c r="L835" s="543"/>
      <c r="M835" s="544"/>
      <c r="N835" s="543"/>
      <c r="O835" s="544"/>
      <c r="P835" s="544"/>
      <c r="Q835" s="544"/>
      <c r="R835" s="544"/>
      <c r="S835" s="544"/>
    </row>
    <row r="836" ht="14.25" customHeight="1">
      <c r="A836" s="542"/>
      <c r="B836" s="543"/>
      <c r="C836" s="543"/>
      <c r="D836" s="544"/>
      <c r="E836" s="544"/>
      <c r="F836" s="544"/>
      <c r="G836" s="544"/>
      <c r="H836" s="544"/>
      <c r="I836" s="543"/>
      <c r="J836" s="543"/>
      <c r="K836" s="544"/>
      <c r="L836" s="543"/>
      <c r="M836" s="544"/>
      <c r="N836" s="543"/>
      <c r="O836" s="544"/>
      <c r="P836" s="544"/>
      <c r="Q836" s="544"/>
      <c r="R836" s="544"/>
      <c r="S836" s="544"/>
    </row>
    <row r="837" ht="14.25" customHeight="1">
      <c r="A837" s="542"/>
      <c r="B837" s="543"/>
      <c r="C837" s="543"/>
      <c r="D837" s="544"/>
      <c r="E837" s="544"/>
      <c r="F837" s="544"/>
      <c r="G837" s="544"/>
      <c r="H837" s="544"/>
      <c r="I837" s="543"/>
      <c r="J837" s="543"/>
      <c r="K837" s="544"/>
      <c r="L837" s="543"/>
      <c r="M837" s="544"/>
      <c r="N837" s="543"/>
      <c r="O837" s="544"/>
      <c r="P837" s="544"/>
      <c r="Q837" s="544"/>
      <c r="R837" s="544"/>
      <c r="S837" s="544"/>
    </row>
    <row r="838" ht="14.25" customHeight="1">
      <c r="A838" s="542"/>
      <c r="B838" s="543"/>
      <c r="C838" s="543"/>
      <c r="D838" s="544"/>
      <c r="E838" s="544"/>
      <c r="F838" s="544"/>
      <c r="G838" s="544"/>
      <c r="H838" s="544"/>
      <c r="I838" s="543"/>
      <c r="J838" s="543"/>
      <c r="K838" s="544"/>
      <c r="L838" s="543"/>
      <c r="M838" s="544"/>
      <c r="N838" s="543"/>
      <c r="O838" s="544"/>
      <c r="P838" s="544"/>
      <c r="Q838" s="544"/>
      <c r="R838" s="544"/>
      <c r="S838" s="544"/>
    </row>
    <row r="839" ht="14.25" customHeight="1">
      <c r="A839" s="542"/>
      <c r="B839" s="543"/>
      <c r="C839" s="543"/>
      <c r="D839" s="544"/>
      <c r="E839" s="544"/>
      <c r="F839" s="544"/>
      <c r="G839" s="544"/>
      <c r="H839" s="544"/>
      <c r="I839" s="543"/>
      <c r="J839" s="543"/>
      <c r="K839" s="544"/>
      <c r="L839" s="543"/>
      <c r="M839" s="544"/>
      <c r="N839" s="543"/>
      <c r="O839" s="544"/>
      <c r="P839" s="544"/>
      <c r="Q839" s="544"/>
      <c r="R839" s="544"/>
      <c r="S839" s="544"/>
    </row>
    <row r="840" ht="14.25" customHeight="1">
      <c r="A840" s="542"/>
      <c r="B840" s="543"/>
      <c r="C840" s="543"/>
      <c r="D840" s="544"/>
      <c r="E840" s="544"/>
      <c r="F840" s="544"/>
      <c r="G840" s="544"/>
      <c r="H840" s="544"/>
      <c r="I840" s="543"/>
      <c r="J840" s="543"/>
      <c r="K840" s="544"/>
      <c r="L840" s="543"/>
      <c r="M840" s="544"/>
      <c r="N840" s="543"/>
      <c r="O840" s="544"/>
      <c r="P840" s="544"/>
      <c r="Q840" s="544"/>
      <c r="R840" s="544"/>
      <c r="S840" s="544"/>
    </row>
    <row r="841" ht="14.25" customHeight="1">
      <c r="A841" s="542"/>
      <c r="B841" s="543"/>
      <c r="C841" s="543"/>
      <c r="D841" s="544"/>
      <c r="E841" s="544"/>
      <c r="F841" s="544"/>
      <c r="G841" s="544"/>
      <c r="H841" s="544"/>
      <c r="I841" s="543"/>
      <c r="J841" s="543"/>
      <c r="K841" s="544"/>
      <c r="L841" s="543"/>
      <c r="M841" s="544"/>
      <c r="N841" s="543"/>
      <c r="O841" s="544"/>
      <c r="P841" s="544"/>
      <c r="Q841" s="544"/>
      <c r="R841" s="544"/>
      <c r="S841" s="544"/>
    </row>
    <row r="842" ht="14.25" customHeight="1">
      <c r="A842" s="542"/>
      <c r="B842" s="543"/>
      <c r="C842" s="543"/>
      <c r="D842" s="544"/>
      <c r="E842" s="544"/>
      <c r="F842" s="544"/>
      <c r="G842" s="544"/>
      <c r="H842" s="544"/>
      <c r="I842" s="543"/>
      <c r="J842" s="543"/>
      <c r="K842" s="544"/>
      <c r="L842" s="543"/>
      <c r="M842" s="544"/>
      <c r="N842" s="543"/>
      <c r="O842" s="544"/>
      <c r="P842" s="544"/>
      <c r="Q842" s="544"/>
      <c r="R842" s="544"/>
      <c r="S842" s="544"/>
    </row>
    <row r="843" ht="14.25" customHeight="1">
      <c r="A843" s="542"/>
      <c r="B843" s="543"/>
      <c r="C843" s="543"/>
      <c r="D843" s="544"/>
      <c r="E843" s="544"/>
      <c r="F843" s="544"/>
      <c r="G843" s="544"/>
      <c r="H843" s="544"/>
      <c r="I843" s="543"/>
      <c r="J843" s="543"/>
      <c r="K843" s="544"/>
      <c r="L843" s="543"/>
      <c r="M843" s="544"/>
      <c r="N843" s="543"/>
      <c r="O843" s="544"/>
      <c r="P843" s="544"/>
      <c r="Q843" s="544"/>
      <c r="R843" s="544"/>
      <c r="S843" s="544"/>
    </row>
    <row r="844" ht="14.25" customHeight="1">
      <c r="A844" s="542"/>
      <c r="B844" s="543"/>
      <c r="C844" s="543"/>
      <c r="D844" s="544"/>
      <c r="E844" s="544"/>
      <c r="F844" s="544"/>
      <c r="G844" s="544"/>
      <c r="H844" s="544"/>
      <c r="I844" s="543"/>
      <c r="J844" s="543"/>
      <c r="K844" s="544"/>
      <c r="L844" s="543"/>
      <c r="M844" s="544"/>
      <c r="N844" s="543"/>
      <c r="O844" s="544"/>
      <c r="P844" s="544"/>
      <c r="Q844" s="544"/>
      <c r="R844" s="544"/>
      <c r="S844" s="544"/>
    </row>
    <row r="845" ht="14.25" customHeight="1">
      <c r="A845" s="542"/>
      <c r="B845" s="543"/>
      <c r="C845" s="543"/>
      <c r="D845" s="544"/>
      <c r="E845" s="544"/>
      <c r="F845" s="544"/>
      <c r="G845" s="544"/>
      <c r="H845" s="544"/>
      <c r="I845" s="543"/>
      <c r="J845" s="543"/>
      <c r="K845" s="544"/>
      <c r="L845" s="543"/>
      <c r="M845" s="544"/>
      <c r="N845" s="543"/>
      <c r="O845" s="544"/>
      <c r="P845" s="544"/>
      <c r="Q845" s="544"/>
      <c r="R845" s="544"/>
      <c r="S845" s="544"/>
    </row>
    <row r="846" ht="14.25" customHeight="1">
      <c r="A846" s="542"/>
      <c r="B846" s="543"/>
      <c r="C846" s="543"/>
      <c r="D846" s="544"/>
      <c r="E846" s="544"/>
      <c r="F846" s="544"/>
      <c r="G846" s="544"/>
      <c r="H846" s="544"/>
      <c r="I846" s="543"/>
      <c r="J846" s="543"/>
      <c r="K846" s="544"/>
      <c r="L846" s="543"/>
      <c r="M846" s="544"/>
      <c r="N846" s="543"/>
      <c r="O846" s="544"/>
      <c r="P846" s="544"/>
      <c r="Q846" s="544"/>
      <c r="R846" s="544"/>
      <c r="S846" s="544"/>
    </row>
    <row r="847" ht="14.25" customHeight="1">
      <c r="A847" s="542"/>
      <c r="B847" s="543"/>
      <c r="C847" s="543"/>
      <c r="D847" s="544"/>
      <c r="E847" s="544"/>
      <c r="F847" s="544"/>
      <c r="G847" s="544"/>
      <c r="H847" s="544"/>
      <c r="I847" s="543"/>
      <c r="J847" s="543"/>
      <c r="K847" s="544"/>
      <c r="L847" s="543"/>
      <c r="M847" s="544"/>
      <c r="N847" s="543"/>
      <c r="O847" s="544"/>
      <c r="P847" s="544"/>
      <c r="Q847" s="544"/>
      <c r="R847" s="544"/>
      <c r="S847" s="544"/>
    </row>
    <row r="848" ht="14.25" customHeight="1">
      <c r="A848" s="542"/>
      <c r="B848" s="543"/>
      <c r="C848" s="543"/>
      <c r="D848" s="544"/>
      <c r="E848" s="544"/>
      <c r="F848" s="544"/>
      <c r="G848" s="544"/>
      <c r="H848" s="544"/>
      <c r="I848" s="543"/>
      <c r="J848" s="543"/>
      <c r="K848" s="544"/>
      <c r="L848" s="543"/>
      <c r="M848" s="544"/>
      <c r="N848" s="543"/>
      <c r="O848" s="544"/>
      <c r="P848" s="544"/>
      <c r="Q848" s="544"/>
      <c r="R848" s="544"/>
      <c r="S848" s="544"/>
    </row>
    <row r="849" ht="14.25" customHeight="1">
      <c r="A849" s="542"/>
      <c r="B849" s="543"/>
      <c r="C849" s="543"/>
      <c r="D849" s="544"/>
      <c r="E849" s="544"/>
      <c r="F849" s="544"/>
      <c r="G849" s="544"/>
      <c r="H849" s="544"/>
      <c r="I849" s="543"/>
      <c r="J849" s="543"/>
      <c r="K849" s="544"/>
      <c r="L849" s="543"/>
      <c r="M849" s="544"/>
      <c r="N849" s="543"/>
      <c r="O849" s="544"/>
      <c r="P849" s="544"/>
      <c r="Q849" s="544"/>
      <c r="R849" s="544"/>
      <c r="S849" s="544"/>
    </row>
    <row r="850" ht="14.25" customHeight="1">
      <c r="A850" s="542"/>
      <c r="B850" s="543"/>
      <c r="C850" s="543"/>
      <c r="D850" s="544"/>
      <c r="E850" s="544"/>
      <c r="F850" s="544"/>
      <c r="G850" s="544"/>
      <c r="H850" s="544"/>
      <c r="I850" s="543"/>
      <c r="J850" s="543"/>
      <c r="K850" s="544"/>
      <c r="L850" s="543"/>
      <c r="M850" s="544"/>
      <c r="N850" s="543"/>
      <c r="O850" s="544"/>
      <c r="P850" s="544"/>
      <c r="Q850" s="544"/>
      <c r="R850" s="544"/>
      <c r="S850" s="544"/>
    </row>
    <row r="851" ht="14.25" customHeight="1">
      <c r="A851" s="542"/>
      <c r="B851" s="543"/>
      <c r="C851" s="543"/>
      <c r="D851" s="544"/>
      <c r="E851" s="544"/>
      <c r="F851" s="544"/>
      <c r="G851" s="544"/>
      <c r="H851" s="544"/>
      <c r="I851" s="543"/>
      <c r="J851" s="543"/>
      <c r="K851" s="544"/>
      <c r="L851" s="543"/>
      <c r="M851" s="544"/>
      <c r="N851" s="543"/>
      <c r="O851" s="544"/>
      <c r="P851" s="544"/>
      <c r="Q851" s="544"/>
      <c r="R851" s="544"/>
      <c r="S851" s="544"/>
    </row>
    <row r="852" ht="14.25" customHeight="1">
      <c r="A852" s="542"/>
      <c r="B852" s="543"/>
      <c r="C852" s="543"/>
      <c r="D852" s="544"/>
      <c r="E852" s="544"/>
      <c r="F852" s="544"/>
      <c r="G852" s="544"/>
      <c r="H852" s="544"/>
      <c r="I852" s="543"/>
      <c r="J852" s="543"/>
      <c r="K852" s="544"/>
      <c r="L852" s="543"/>
      <c r="M852" s="544"/>
      <c r="N852" s="543"/>
      <c r="O852" s="544"/>
      <c r="P852" s="544"/>
      <c r="Q852" s="544"/>
      <c r="R852" s="544"/>
      <c r="S852" s="544"/>
    </row>
    <row r="853" ht="14.25" customHeight="1">
      <c r="A853" s="542"/>
      <c r="B853" s="543"/>
      <c r="C853" s="543"/>
      <c r="D853" s="544"/>
      <c r="E853" s="544"/>
      <c r="F853" s="544"/>
      <c r="G853" s="544"/>
      <c r="H853" s="544"/>
      <c r="I853" s="543"/>
      <c r="J853" s="543"/>
      <c r="K853" s="544"/>
      <c r="L853" s="543"/>
      <c r="M853" s="544"/>
      <c r="N853" s="543"/>
      <c r="O853" s="544"/>
      <c r="P853" s="544"/>
      <c r="Q853" s="544"/>
      <c r="R853" s="544"/>
      <c r="S853" s="544"/>
    </row>
    <row r="854" ht="14.25" customHeight="1">
      <c r="A854" s="542"/>
      <c r="B854" s="543"/>
      <c r="C854" s="543"/>
      <c r="D854" s="544"/>
      <c r="E854" s="544"/>
      <c r="F854" s="544"/>
      <c r="G854" s="544"/>
      <c r="H854" s="544"/>
      <c r="I854" s="543"/>
      <c r="J854" s="543"/>
      <c r="K854" s="544"/>
      <c r="L854" s="543"/>
      <c r="M854" s="544"/>
      <c r="N854" s="543"/>
      <c r="O854" s="544"/>
      <c r="P854" s="544"/>
      <c r="Q854" s="544"/>
      <c r="R854" s="544"/>
      <c r="S854" s="544"/>
    </row>
    <row r="855" ht="14.25" customHeight="1">
      <c r="A855" s="542"/>
      <c r="B855" s="543"/>
      <c r="C855" s="543"/>
      <c r="D855" s="544"/>
      <c r="E855" s="544"/>
      <c r="F855" s="544"/>
      <c r="G855" s="544"/>
      <c r="H855" s="544"/>
      <c r="I855" s="543"/>
      <c r="J855" s="543"/>
      <c r="K855" s="544"/>
      <c r="L855" s="543"/>
      <c r="M855" s="544"/>
      <c r="N855" s="543"/>
      <c r="O855" s="544"/>
      <c r="P855" s="544"/>
      <c r="Q855" s="544"/>
      <c r="R855" s="544"/>
      <c r="S855" s="544"/>
    </row>
    <row r="856" ht="14.25" customHeight="1">
      <c r="A856" s="542"/>
      <c r="B856" s="543"/>
      <c r="C856" s="543"/>
      <c r="D856" s="544"/>
      <c r="E856" s="544"/>
      <c r="F856" s="544"/>
      <c r="G856" s="544"/>
      <c r="H856" s="544"/>
      <c r="I856" s="543"/>
      <c r="J856" s="543"/>
      <c r="K856" s="544"/>
      <c r="L856" s="543"/>
      <c r="M856" s="544"/>
      <c r="N856" s="543"/>
      <c r="O856" s="544"/>
      <c r="P856" s="544"/>
      <c r="Q856" s="544"/>
      <c r="R856" s="544"/>
      <c r="S856" s="544"/>
    </row>
    <row r="857" ht="14.25" customHeight="1">
      <c r="A857" s="542"/>
      <c r="B857" s="543"/>
      <c r="C857" s="543"/>
      <c r="D857" s="544"/>
      <c r="E857" s="544"/>
      <c r="F857" s="544"/>
      <c r="G857" s="544"/>
      <c r="H857" s="544"/>
      <c r="I857" s="543"/>
      <c r="J857" s="543"/>
      <c r="K857" s="544"/>
      <c r="L857" s="543"/>
      <c r="M857" s="544"/>
      <c r="N857" s="543"/>
      <c r="O857" s="544"/>
      <c r="P857" s="544"/>
      <c r="Q857" s="544"/>
      <c r="R857" s="544"/>
      <c r="S857" s="544"/>
    </row>
    <row r="858" ht="14.25" customHeight="1">
      <c r="A858" s="542"/>
      <c r="B858" s="543"/>
      <c r="C858" s="543"/>
      <c r="D858" s="544"/>
      <c r="E858" s="544"/>
      <c r="F858" s="544"/>
      <c r="G858" s="544"/>
      <c r="H858" s="544"/>
      <c r="I858" s="543"/>
      <c r="J858" s="543"/>
      <c r="K858" s="544"/>
      <c r="L858" s="543"/>
      <c r="M858" s="544"/>
      <c r="N858" s="543"/>
      <c r="O858" s="544"/>
      <c r="P858" s="544"/>
      <c r="Q858" s="544"/>
      <c r="R858" s="544"/>
      <c r="S858" s="544"/>
    </row>
    <row r="859" ht="14.25" customHeight="1">
      <c r="A859" s="542"/>
      <c r="B859" s="543"/>
      <c r="C859" s="543"/>
      <c r="D859" s="544"/>
      <c r="E859" s="544"/>
      <c r="F859" s="544"/>
      <c r="G859" s="544"/>
      <c r="H859" s="544"/>
      <c r="I859" s="543"/>
      <c r="J859" s="543"/>
      <c r="K859" s="544"/>
      <c r="L859" s="543"/>
      <c r="M859" s="544"/>
      <c r="N859" s="543"/>
      <c r="O859" s="544"/>
      <c r="P859" s="544"/>
      <c r="Q859" s="544"/>
      <c r="R859" s="544"/>
      <c r="S859" s="544"/>
    </row>
    <row r="860" ht="14.25" customHeight="1">
      <c r="A860" s="542"/>
      <c r="B860" s="543"/>
      <c r="C860" s="543"/>
      <c r="D860" s="544"/>
      <c r="E860" s="544"/>
      <c r="F860" s="544"/>
      <c r="G860" s="544"/>
      <c r="H860" s="544"/>
      <c r="I860" s="543"/>
      <c r="J860" s="543"/>
      <c r="K860" s="544"/>
      <c r="L860" s="543"/>
      <c r="M860" s="544"/>
      <c r="N860" s="543"/>
      <c r="O860" s="544"/>
      <c r="P860" s="544"/>
      <c r="Q860" s="544"/>
      <c r="R860" s="544"/>
      <c r="S860" s="544"/>
    </row>
    <row r="861" ht="14.25" customHeight="1">
      <c r="A861" s="542"/>
      <c r="B861" s="543"/>
      <c r="C861" s="543"/>
      <c r="D861" s="544"/>
      <c r="E861" s="544"/>
      <c r="F861" s="544"/>
      <c r="G861" s="544"/>
      <c r="H861" s="544"/>
      <c r="I861" s="543"/>
      <c r="J861" s="543"/>
      <c r="K861" s="544"/>
      <c r="L861" s="543"/>
      <c r="M861" s="544"/>
      <c r="N861" s="543"/>
      <c r="O861" s="544"/>
      <c r="P861" s="544"/>
      <c r="Q861" s="544"/>
      <c r="R861" s="544"/>
      <c r="S861" s="544"/>
    </row>
    <row r="862" ht="14.25" customHeight="1">
      <c r="A862" s="542"/>
      <c r="B862" s="543"/>
      <c r="C862" s="543"/>
      <c r="D862" s="544"/>
      <c r="E862" s="544"/>
      <c r="F862" s="544"/>
      <c r="G862" s="544"/>
      <c r="H862" s="544"/>
      <c r="I862" s="543"/>
      <c r="J862" s="543"/>
      <c r="K862" s="544"/>
      <c r="L862" s="543"/>
      <c r="M862" s="544"/>
      <c r="N862" s="543"/>
      <c r="O862" s="544"/>
      <c r="P862" s="544"/>
      <c r="Q862" s="544"/>
      <c r="R862" s="544"/>
      <c r="S862" s="544"/>
    </row>
    <row r="863" ht="14.25" customHeight="1">
      <c r="A863" s="542"/>
      <c r="B863" s="543"/>
      <c r="C863" s="543"/>
      <c r="D863" s="544"/>
      <c r="E863" s="544"/>
      <c r="F863" s="544"/>
      <c r="G863" s="544"/>
      <c r="H863" s="544"/>
      <c r="I863" s="543"/>
      <c r="J863" s="543"/>
      <c r="K863" s="544"/>
      <c r="L863" s="543"/>
      <c r="M863" s="544"/>
      <c r="N863" s="543"/>
      <c r="O863" s="544"/>
      <c r="P863" s="544"/>
      <c r="Q863" s="544"/>
      <c r="R863" s="544"/>
      <c r="S863" s="544"/>
    </row>
    <row r="864" ht="14.25" customHeight="1">
      <c r="A864" s="542"/>
      <c r="B864" s="543"/>
      <c r="C864" s="543"/>
      <c r="D864" s="544"/>
      <c r="E864" s="544"/>
      <c r="F864" s="544"/>
      <c r="G864" s="544"/>
      <c r="H864" s="544"/>
      <c r="I864" s="543"/>
      <c r="J864" s="543"/>
      <c r="K864" s="544"/>
      <c r="L864" s="543"/>
      <c r="M864" s="544"/>
      <c r="N864" s="543"/>
      <c r="O864" s="544"/>
      <c r="P864" s="544"/>
      <c r="Q864" s="544"/>
      <c r="R864" s="544"/>
      <c r="S864" s="544"/>
    </row>
    <row r="865" ht="14.25" customHeight="1">
      <c r="A865" s="542"/>
      <c r="B865" s="543"/>
      <c r="C865" s="543"/>
      <c r="D865" s="544"/>
      <c r="E865" s="544"/>
      <c r="F865" s="544"/>
      <c r="G865" s="544"/>
      <c r="H865" s="544"/>
      <c r="I865" s="543"/>
      <c r="J865" s="543"/>
      <c r="K865" s="544"/>
      <c r="L865" s="543"/>
      <c r="M865" s="544"/>
      <c r="N865" s="543"/>
      <c r="O865" s="544"/>
      <c r="P865" s="544"/>
      <c r="Q865" s="544"/>
      <c r="R865" s="544"/>
      <c r="S865" s="544"/>
    </row>
    <row r="866" ht="14.25" customHeight="1">
      <c r="A866" s="542"/>
      <c r="B866" s="543"/>
      <c r="C866" s="543"/>
      <c r="D866" s="544"/>
      <c r="E866" s="544"/>
      <c r="F866" s="544"/>
      <c r="G866" s="544"/>
      <c r="H866" s="544"/>
      <c r="I866" s="543"/>
      <c r="J866" s="543"/>
      <c r="K866" s="544"/>
      <c r="L866" s="543"/>
      <c r="M866" s="544"/>
      <c r="N866" s="543"/>
      <c r="O866" s="544"/>
      <c r="P866" s="544"/>
      <c r="Q866" s="544"/>
      <c r="R866" s="544"/>
      <c r="S866" s="544"/>
    </row>
    <row r="867" ht="14.25" customHeight="1">
      <c r="A867" s="542"/>
      <c r="B867" s="543"/>
      <c r="C867" s="543"/>
      <c r="D867" s="544"/>
      <c r="E867" s="544"/>
      <c r="F867" s="544"/>
      <c r="G867" s="544"/>
      <c r="H867" s="544"/>
      <c r="I867" s="543"/>
      <c r="J867" s="543"/>
      <c r="K867" s="544"/>
      <c r="L867" s="543"/>
      <c r="M867" s="544"/>
      <c r="N867" s="543"/>
      <c r="O867" s="544"/>
      <c r="P867" s="544"/>
      <c r="Q867" s="544"/>
      <c r="R867" s="544"/>
      <c r="S867" s="544"/>
    </row>
    <row r="868" ht="14.25" customHeight="1">
      <c r="A868" s="542"/>
      <c r="B868" s="543"/>
      <c r="C868" s="543"/>
      <c r="D868" s="544"/>
      <c r="E868" s="544"/>
      <c r="F868" s="544"/>
      <c r="G868" s="544"/>
      <c r="H868" s="544"/>
      <c r="I868" s="543"/>
      <c r="J868" s="543"/>
      <c r="K868" s="544"/>
      <c r="L868" s="543"/>
      <c r="M868" s="544"/>
      <c r="N868" s="543"/>
      <c r="O868" s="544"/>
      <c r="P868" s="544"/>
      <c r="Q868" s="544"/>
      <c r="R868" s="544"/>
      <c r="S868" s="544"/>
    </row>
    <row r="869" ht="14.25" customHeight="1">
      <c r="A869" s="542"/>
      <c r="B869" s="543"/>
      <c r="C869" s="543"/>
      <c r="D869" s="544"/>
      <c r="E869" s="544"/>
      <c r="F869" s="544"/>
      <c r="G869" s="544"/>
      <c r="H869" s="544"/>
      <c r="I869" s="543"/>
      <c r="J869" s="543"/>
      <c r="K869" s="544"/>
      <c r="L869" s="543"/>
      <c r="M869" s="544"/>
      <c r="N869" s="543"/>
      <c r="O869" s="544"/>
      <c r="P869" s="544"/>
      <c r="Q869" s="544"/>
      <c r="R869" s="544"/>
      <c r="S869" s="544"/>
    </row>
    <row r="870" ht="14.25" customHeight="1">
      <c r="A870" s="542"/>
      <c r="B870" s="543"/>
      <c r="C870" s="543"/>
      <c r="D870" s="544"/>
      <c r="E870" s="544"/>
      <c r="F870" s="544"/>
      <c r="G870" s="544"/>
      <c r="H870" s="544"/>
      <c r="I870" s="543"/>
      <c r="J870" s="543"/>
      <c r="K870" s="544"/>
      <c r="L870" s="543"/>
      <c r="M870" s="544"/>
      <c r="N870" s="543"/>
      <c r="O870" s="544"/>
      <c r="P870" s="544"/>
      <c r="Q870" s="544"/>
      <c r="R870" s="544"/>
      <c r="S870" s="544"/>
    </row>
    <row r="871" ht="14.25" customHeight="1">
      <c r="A871" s="542"/>
      <c r="B871" s="543"/>
      <c r="C871" s="543"/>
      <c r="D871" s="544"/>
      <c r="E871" s="544"/>
      <c r="F871" s="544"/>
      <c r="G871" s="544"/>
      <c r="H871" s="544"/>
      <c r="I871" s="543"/>
      <c r="J871" s="543"/>
      <c r="K871" s="544"/>
      <c r="L871" s="543"/>
      <c r="M871" s="544"/>
      <c r="N871" s="543"/>
      <c r="O871" s="544"/>
      <c r="P871" s="544"/>
      <c r="Q871" s="544"/>
      <c r="R871" s="544"/>
      <c r="S871" s="544"/>
    </row>
    <row r="872" ht="14.25" customHeight="1">
      <c r="A872" s="542"/>
      <c r="B872" s="543"/>
      <c r="C872" s="543"/>
      <c r="D872" s="544"/>
      <c r="E872" s="544"/>
      <c r="F872" s="544"/>
      <c r="G872" s="544"/>
      <c r="H872" s="544"/>
      <c r="I872" s="543"/>
      <c r="J872" s="543"/>
      <c r="K872" s="544"/>
      <c r="L872" s="543"/>
      <c r="M872" s="544"/>
      <c r="N872" s="543"/>
      <c r="O872" s="544"/>
      <c r="P872" s="544"/>
      <c r="Q872" s="544"/>
      <c r="R872" s="544"/>
      <c r="S872" s="544"/>
    </row>
    <row r="873" ht="14.25" customHeight="1">
      <c r="A873" s="542"/>
      <c r="B873" s="543"/>
      <c r="C873" s="543"/>
      <c r="D873" s="544"/>
      <c r="E873" s="544"/>
      <c r="F873" s="544"/>
      <c r="G873" s="544"/>
      <c r="H873" s="544"/>
      <c r="I873" s="543"/>
      <c r="J873" s="543"/>
      <c r="K873" s="544"/>
      <c r="L873" s="543"/>
      <c r="M873" s="544"/>
      <c r="N873" s="543"/>
      <c r="O873" s="544"/>
      <c r="P873" s="544"/>
      <c r="Q873" s="544"/>
      <c r="R873" s="544"/>
      <c r="S873" s="544"/>
    </row>
    <row r="874" ht="14.25" customHeight="1">
      <c r="A874" s="542"/>
      <c r="B874" s="543"/>
      <c r="C874" s="543"/>
      <c r="D874" s="544"/>
      <c r="E874" s="544"/>
      <c r="F874" s="544"/>
      <c r="G874" s="544"/>
      <c r="H874" s="544"/>
      <c r="I874" s="543"/>
      <c r="J874" s="543"/>
      <c r="K874" s="544"/>
      <c r="L874" s="543"/>
      <c r="M874" s="544"/>
      <c r="N874" s="543"/>
      <c r="O874" s="544"/>
      <c r="P874" s="544"/>
      <c r="Q874" s="544"/>
      <c r="R874" s="544"/>
      <c r="S874" s="544"/>
    </row>
    <row r="875" ht="14.25" customHeight="1">
      <c r="A875" s="542"/>
      <c r="B875" s="543"/>
      <c r="C875" s="543"/>
      <c r="D875" s="544"/>
      <c r="E875" s="544"/>
      <c r="F875" s="544"/>
      <c r="G875" s="544"/>
      <c r="H875" s="544"/>
      <c r="I875" s="543"/>
      <c r="J875" s="543"/>
      <c r="K875" s="544"/>
      <c r="L875" s="543"/>
      <c r="M875" s="544"/>
      <c r="N875" s="543"/>
      <c r="O875" s="544"/>
      <c r="P875" s="544"/>
      <c r="Q875" s="544"/>
      <c r="R875" s="544"/>
      <c r="S875" s="544"/>
    </row>
    <row r="876" ht="14.25" customHeight="1">
      <c r="A876" s="542"/>
      <c r="B876" s="543"/>
      <c r="C876" s="543"/>
      <c r="D876" s="544"/>
      <c r="E876" s="544"/>
      <c r="F876" s="544"/>
      <c r="G876" s="544"/>
      <c r="H876" s="544"/>
      <c r="I876" s="543"/>
      <c r="J876" s="543"/>
      <c r="K876" s="544"/>
      <c r="L876" s="543"/>
      <c r="M876" s="544"/>
      <c r="N876" s="543"/>
      <c r="O876" s="544"/>
      <c r="P876" s="544"/>
      <c r="Q876" s="544"/>
      <c r="R876" s="544"/>
      <c r="S876" s="544"/>
    </row>
    <row r="877" ht="14.25" customHeight="1">
      <c r="A877" s="542"/>
      <c r="B877" s="543"/>
      <c r="C877" s="543"/>
      <c r="D877" s="544"/>
      <c r="E877" s="544"/>
      <c r="F877" s="544"/>
      <c r="G877" s="544"/>
      <c r="H877" s="544"/>
      <c r="I877" s="543"/>
      <c r="J877" s="543"/>
      <c r="K877" s="544"/>
      <c r="L877" s="543"/>
      <c r="M877" s="544"/>
      <c r="N877" s="543"/>
      <c r="O877" s="544"/>
      <c r="P877" s="544"/>
      <c r="Q877" s="544"/>
      <c r="R877" s="544"/>
      <c r="S877" s="544"/>
    </row>
    <row r="878" ht="14.25" customHeight="1">
      <c r="A878" s="542"/>
      <c r="B878" s="543"/>
      <c r="C878" s="543"/>
      <c r="D878" s="544"/>
      <c r="E878" s="544"/>
      <c r="F878" s="544"/>
      <c r="G878" s="544"/>
      <c r="H878" s="544"/>
      <c r="I878" s="543"/>
      <c r="J878" s="543"/>
      <c r="K878" s="544"/>
      <c r="L878" s="543"/>
      <c r="M878" s="544"/>
      <c r="N878" s="543"/>
      <c r="O878" s="544"/>
      <c r="P878" s="544"/>
      <c r="Q878" s="544"/>
      <c r="R878" s="544"/>
      <c r="S878" s="544"/>
    </row>
    <row r="879" ht="14.25" customHeight="1">
      <c r="A879" s="542"/>
      <c r="B879" s="543"/>
      <c r="C879" s="543"/>
      <c r="D879" s="544"/>
      <c r="E879" s="544"/>
      <c r="F879" s="544"/>
      <c r="G879" s="544"/>
      <c r="H879" s="544"/>
      <c r="I879" s="543"/>
      <c r="J879" s="543"/>
      <c r="K879" s="544"/>
      <c r="L879" s="543"/>
      <c r="M879" s="544"/>
      <c r="N879" s="543"/>
      <c r="O879" s="544"/>
      <c r="P879" s="544"/>
      <c r="Q879" s="544"/>
      <c r="R879" s="544"/>
      <c r="S879" s="544"/>
    </row>
    <row r="880" ht="14.25" customHeight="1">
      <c r="A880" s="542"/>
      <c r="B880" s="543"/>
      <c r="C880" s="543"/>
      <c r="D880" s="544"/>
      <c r="E880" s="544"/>
      <c r="F880" s="544"/>
      <c r="G880" s="544"/>
      <c r="H880" s="544"/>
      <c r="I880" s="543"/>
      <c r="J880" s="543"/>
      <c r="K880" s="544"/>
      <c r="L880" s="543"/>
      <c r="M880" s="544"/>
      <c r="N880" s="543"/>
      <c r="O880" s="544"/>
      <c r="P880" s="544"/>
      <c r="Q880" s="544"/>
      <c r="R880" s="544"/>
      <c r="S880" s="544"/>
    </row>
    <row r="881" ht="14.25" customHeight="1">
      <c r="A881" s="542"/>
      <c r="B881" s="543"/>
      <c r="C881" s="543"/>
      <c r="D881" s="544"/>
      <c r="E881" s="544"/>
      <c r="F881" s="544"/>
      <c r="G881" s="544"/>
      <c r="H881" s="544"/>
      <c r="I881" s="543"/>
      <c r="J881" s="543"/>
      <c r="K881" s="544"/>
      <c r="L881" s="543"/>
      <c r="M881" s="544"/>
      <c r="N881" s="543"/>
      <c r="O881" s="544"/>
      <c r="P881" s="544"/>
      <c r="Q881" s="544"/>
      <c r="R881" s="544"/>
      <c r="S881" s="544"/>
    </row>
    <row r="882" ht="14.25" customHeight="1">
      <c r="A882" s="542"/>
      <c r="B882" s="543"/>
      <c r="C882" s="543"/>
      <c r="D882" s="544"/>
      <c r="E882" s="544"/>
      <c r="F882" s="544"/>
      <c r="G882" s="544"/>
      <c r="H882" s="544"/>
      <c r="I882" s="543"/>
      <c r="J882" s="543"/>
      <c r="K882" s="544"/>
      <c r="L882" s="543"/>
      <c r="M882" s="544"/>
      <c r="N882" s="543"/>
      <c r="O882" s="544"/>
      <c r="P882" s="544"/>
      <c r="Q882" s="544"/>
      <c r="R882" s="544"/>
      <c r="S882" s="544"/>
    </row>
    <row r="883" ht="14.25" customHeight="1">
      <c r="A883" s="542"/>
      <c r="B883" s="543"/>
      <c r="C883" s="543"/>
      <c r="D883" s="544"/>
      <c r="E883" s="544"/>
      <c r="F883" s="544"/>
      <c r="G883" s="544"/>
      <c r="H883" s="544"/>
      <c r="I883" s="543"/>
      <c r="J883" s="543"/>
      <c r="K883" s="544"/>
      <c r="L883" s="543"/>
      <c r="M883" s="544"/>
      <c r="N883" s="543"/>
      <c r="O883" s="544"/>
      <c r="P883" s="544"/>
      <c r="Q883" s="544"/>
      <c r="R883" s="544"/>
      <c r="S883" s="544"/>
    </row>
    <row r="884" ht="14.25" customHeight="1">
      <c r="A884" s="542"/>
      <c r="B884" s="543"/>
      <c r="C884" s="543"/>
      <c r="D884" s="544"/>
      <c r="E884" s="544"/>
      <c r="F884" s="544"/>
      <c r="G884" s="544"/>
      <c r="H884" s="544"/>
      <c r="I884" s="543"/>
      <c r="J884" s="543"/>
      <c r="K884" s="544"/>
      <c r="L884" s="543"/>
      <c r="M884" s="544"/>
      <c r="N884" s="543"/>
      <c r="O884" s="544"/>
      <c r="P884" s="544"/>
      <c r="Q884" s="544"/>
      <c r="R884" s="544"/>
      <c r="S884" s="544"/>
    </row>
    <row r="885" ht="14.25" customHeight="1">
      <c r="A885" s="542"/>
      <c r="B885" s="543"/>
      <c r="C885" s="543"/>
      <c r="D885" s="544"/>
      <c r="E885" s="544"/>
      <c r="F885" s="544"/>
      <c r="G885" s="544"/>
      <c r="H885" s="544"/>
      <c r="I885" s="543"/>
      <c r="J885" s="543"/>
      <c r="K885" s="544"/>
      <c r="L885" s="543"/>
      <c r="M885" s="544"/>
      <c r="N885" s="543"/>
      <c r="O885" s="544"/>
      <c r="P885" s="544"/>
      <c r="Q885" s="544"/>
      <c r="R885" s="544"/>
      <c r="S885" s="544"/>
    </row>
    <row r="886" ht="14.25" customHeight="1">
      <c r="A886" s="542"/>
      <c r="B886" s="543"/>
      <c r="C886" s="543"/>
      <c r="D886" s="544"/>
      <c r="E886" s="544"/>
      <c r="F886" s="544"/>
      <c r="G886" s="544"/>
      <c r="H886" s="544"/>
      <c r="I886" s="543"/>
      <c r="J886" s="543"/>
      <c r="K886" s="544"/>
      <c r="L886" s="543"/>
      <c r="M886" s="544"/>
      <c r="N886" s="543"/>
      <c r="O886" s="544"/>
      <c r="P886" s="544"/>
      <c r="Q886" s="544"/>
      <c r="R886" s="544"/>
      <c r="S886" s="544"/>
    </row>
    <row r="887" ht="14.25" customHeight="1">
      <c r="A887" s="542"/>
      <c r="B887" s="543"/>
      <c r="C887" s="543"/>
      <c r="D887" s="544"/>
      <c r="E887" s="544"/>
      <c r="F887" s="544"/>
      <c r="G887" s="544"/>
      <c r="H887" s="544"/>
      <c r="I887" s="543"/>
      <c r="J887" s="543"/>
      <c r="K887" s="544"/>
      <c r="L887" s="543"/>
      <c r="M887" s="544"/>
      <c r="N887" s="543"/>
      <c r="O887" s="544"/>
      <c r="P887" s="544"/>
      <c r="Q887" s="544"/>
      <c r="R887" s="544"/>
      <c r="S887" s="544"/>
    </row>
    <row r="888" ht="14.25" customHeight="1">
      <c r="A888" s="542"/>
      <c r="B888" s="543"/>
      <c r="C888" s="543"/>
      <c r="D888" s="544"/>
      <c r="E888" s="544"/>
      <c r="F888" s="544"/>
      <c r="G888" s="544"/>
      <c r="H888" s="544"/>
      <c r="I888" s="543"/>
      <c r="J888" s="543"/>
      <c r="K888" s="544"/>
      <c r="L888" s="543"/>
      <c r="M888" s="544"/>
      <c r="N888" s="543"/>
      <c r="O888" s="544"/>
      <c r="P888" s="544"/>
      <c r="Q888" s="544"/>
      <c r="R888" s="544"/>
      <c r="S888" s="544"/>
    </row>
    <row r="889" ht="14.25" customHeight="1">
      <c r="A889" s="542"/>
      <c r="B889" s="543"/>
      <c r="C889" s="543"/>
      <c r="D889" s="544"/>
      <c r="E889" s="544"/>
      <c r="F889" s="544"/>
      <c r="G889" s="544"/>
      <c r="H889" s="544"/>
      <c r="I889" s="543"/>
      <c r="J889" s="543"/>
      <c r="K889" s="544"/>
      <c r="L889" s="543"/>
      <c r="M889" s="544"/>
      <c r="N889" s="543"/>
      <c r="O889" s="544"/>
      <c r="P889" s="544"/>
      <c r="Q889" s="544"/>
      <c r="R889" s="544"/>
      <c r="S889" s="544"/>
    </row>
    <row r="890" ht="14.25" customHeight="1">
      <c r="A890" s="542"/>
      <c r="B890" s="543"/>
      <c r="C890" s="543"/>
      <c r="D890" s="544"/>
      <c r="E890" s="544"/>
      <c r="F890" s="544"/>
      <c r="G890" s="544"/>
      <c r="H890" s="544"/>
      <c r="I890" s="543"/>
      <c r="J890" s="543"/>
      <c r="K890" s="544"/>
      <c r="L890" s="543"/>
      <c r="M890" s="544"/>
      <c r="N890" s="543"/>
      <c r="O890" s="544"/>
      <c r="P890" s="544"/>
      <c r="Q890" s="544"/>
      <c r="R890" s="544"/>
      <c r="S890" s="544"/>
    </row>
    <row r="891" ht="14.25" customHeight="1">
      <c r="A891" s="542"/>
      <c r="B891" s="543"/>
      <c r="C891" s="543"/>
      <c r="D891" s="544"/>
      <c r="E891" s="544"/>
      <c r="F891" s="544"/>
      <c r="G891" s="544"/>
      <c r="H891" s="544"/>
      <c r="I891" s="543"/>
      <c r="J891" s="543"/>
      <c r="K891" s="544"/>
      <c r="L891" s="543"/>
      <c r="M891" s="544"/>
      <c r="N891" s="543"/>
      <c r="O891" s="544"/>
      <c r="P891" s="544"/>
      <c r="Q891" s="544"/>
      <c r="R891" s="544"/>
      <c r="S891" s="544"/>
    </row>
    <row r="892" ht="14.25" customHeight="1">
      <c r="A892" s="542"/>
      <c r="B892" s="543"/>
      <c r="C892" s="543"/>
      <c r="D892" s="544"/>
      <c r="E892" s="544"/>
      <c r="F892" s="544"/>
      <c r="G892" s="544"/>
      <c r="H892" s="544"/>
      <c r="I892" s="543"/>
      <c r="J892" s="543"/>
      <c r="K892" s="544"/>
      <c r="L892" s="543"/>
      <c r="M892" s="544"/>
      <c r="N892" s="543"/>
      <c r="O892" s="544"/>
      <c r="P892" s="544"/>
      <c r="Q892" s="544"/>
      <c r="R892" s="544"/>
      <c r="S892" s="544"/>
    </row>
    <row r="893" ht="14.25" customHeight="1">
      <c r="A893" s="542"/>
      <c r="B893" s="543"/>
      <c r="C893" s="543"/>
      <c r="D893" s="544"/>
      <c r="E893" s="544"/>
      <c r="F893" s="544"/>
      <c r="G893" s="544"/>
      <c r="H893" s="544"/>
      <c r="I893" s="543"/>
      <c r="J893" s="543"/>
      <c r="K893" s="544"/>
      <c r="L893" s="543"/>
      <c r="M893" s="544"/>
      <c r="N893" s="543"/>
      <c r="O893" s="544"/>
      <c r="P893" s="544"/>
      <c r="Q893" s="544"/>
      <c r="R893" s="544"/>
      <c r="S893" s="544"/>
    </row>
    <row r="894" ht="14.25" customHeight="1">
      <c r="A894" s="542"/>
      <c r="B894" s="543"/>
      <c r="C894" s="543"/>
      <c r="D894" s="544"/>
      <c r="E894" s="544"/>
      <c r="F894" s="544"/>
      <c r="G894" s="544"/>
      <c r="H894" s="544"/>
      <c r="I894" s="543"/>
      <c r="J894" s="543"/>
      <c r="K894" s="544"/>
      <c r="L894" s="543"/>
      <c r="M894" s="544"/>
      <c r="N894" s="543"/>
      <c r="O894" s="544"/>
      <c r="P894" s="544"/>
      <c r="Q894" s="544"/>
      <c r="R894" s="544"/>
      <c r="S894" s="544"/>
    </row>
    <row r="895" ht="14.25" customHeight="1">
      <c r="A895" s="542"/>
      <c r="B895" s="543"/>
      <c r="C895" s="543"/>
      <c r="D895" s="544"/>
      <c r="E895" s="544"/>
      <c r="F895" s="544"/>
      <c r="G895" s="544"/>
      <c r="H895" s="544"/>
      <c r="I895" s="543"/>
      <c r="J895" s="543"/>
      <c r="K895" s="544"/>
      <c r="L895" s="543"/>
      <c r="M895" s="544"/>
      <c r="N895" s="543"/>
      <c r="O895" s="544"/>
      <c r="P895" s="544"/>
      <c r="Q895" s="544"/>
      <c r="R895" s="544"/>
      <c r="S895" s="544"/>
    </row>
    <row r="896" ht="14.25" customHeight="1">
      <c r="A896" s="542"/>
      <c r="B896" s="543"/>
      <c r="C896" s="543"/>
      <c r="D896" s="544"/>
      <c r="E896" s="544"/>
      <c r="F896" s="544"/>
      <c r="G896" s="544"/>
      <c r="H896" s="544"/>
      <c r="I896" s="543"/>
      <c r="J896" s="543"/>
      <c r="K896" s="544"/>
      <c r="L896" s="543"/>
      <c r="M896" s="544"/>
      <c r="N896" s="543"/>
      <c r="O896" s="544"/>
      <c r="P896" s="544"/>
      <c r="Q896" s="544"/>
      <c r="R896" s="544"/>
      <c r="S896" s="544"/>
    </row>
    <row r="897" ht="14.25" customHeight="1">
      <c r="A897" s="542"/>
      <c r="B897" s="543"/>
      <c r="C897" s="543"/>
      <c r="D897" s="544"/>
      <c r="E897" s="544"/>
      <c r="F897" s="544"/>
      <c r="G897" s="544"/>
      <c r="H897" s="544"/>
      <c r="I897" s="543"/>
      <c r="J897" s="543"/>
      <c r="K897" s="544"/>
      <c r="L897" s="543"/>
      <c r="M897" s="544"/>
      <c r="N897" s="543"/>
      <c r="O897" s="544"/>
      <c r="P897" s="544"/>
      <c r="Q897" s="544"/>
      <c r="R897" s="544"/>
      <c r="S897" s="544"/>
    </row>
    <row r="898" ht="14.25" customHeight="1">
      <c r="A898" s="542"/>
      <c r="B898" s="543"/>
      <c r="C898" s="543"/>
      <c r="D898" s="544"/>
      <c r="E898" s="544"/>
      <c r="F898" s="544"/>
      <c r="G898" s="544"/>
      <c r="H898" s="544"/>
      <c r="I898" s="543"/>
      <c r="J898" s="543"/>
      <c r="K898" s="544"/>
      <c r="L898" s="543"/>
      <c r="M898" s="544"/>
      <c r="N898" s="543"/>
      <c r="O898" s="544"/>
      <c r="P898" s="544"/>
      <c r="Q898" s="544"/>
      <c r="R898" s="544"/>
      <c r="S898" s="544"/>
    </row>
    <row r="899" ht="14.25" customHeight="1">
      <c r="A899" s="542"/>
      <c r="B899" s="543"/>
      <c r="C899" s="543"/>
      <c r="D899" s="544"/>
      <c r="E899" s="544"/>
      <c r="F899" s="544"/>
      <c r="G899" s="544"/>
      <c r="H899" s="544"/>
      <c r="I899" s="543"/>
      <c r="J899" s="543"/>
      <c r="K899" s="544"/>
      <c r="L899" s="543"/>
      <c r="M899" s="544"/>
      <c r="N899" s="543"/>
      <c r="O899" s="544"/>
      <c r="P899" s="544"/>
      <c r="Q899" s="544"/>
      <c r="R899" s="544"/>
      <c r="S899" s="544"/>
    </row>
    <row r="900" ht="14.25" customHeight="1">
      <c r="A900" s="542"/>
      <c r="B900" s="543"/>
      <c r="C900" s="543"/>
      <c r="D900" s="544"/>
      <c r="E900" s="544"/>
      <c r="F900" s="544"/>
      <c r="G900" s="544"/>
      <c r="H900" s="544"/>
      <c r="I900" s="543"/>
      <c r="J900" s="543"/>
      <c r="K900" s="544"/>
      <c r="L900" s="543"/>
      <c r="M900" s="544"/>
      <c r="N900" s="543"/>
      <c r="O900" s="544"/>
      <c r="P900" s="544"/>
      <c r="Q900" s="544"/>
      <c r="R900" s="544"/>
      <c r="S900" s="544"/>
    </row>
    <row r="901" ht="14.25" customHeight="1">
      <c r="A901" s="542"/>
      <c r="B901" s="543"/>
      <c r="C901" s="543"/>
      <c r="D901" s="544"/>
      <c r="E901" s="544"/>
      <c r="F901" s="544"/>
      <c r="G901" s="544"/>
      <c r="H901" s="544"/>
      <c r="I901" s="543"/>
      <c r="J901" s="543"/>
      <c r="K901" s="544"/>
      <c r="L901" s="543"/>
      <c r="M901" s="544"/>
      <c r="N901" s="543"/>
      <c r="O901" s="544"/>
      <c r="P901" s="544"/>
      <c r="Q901" s="544"/>
      <c r="R901" s="544"/>
      <c r="S901" s="544"/>
    </row>
    <row r="902" ht="14.25" customHeight="1">
      <c r="A902" s="542"/>
      <c r="B902" s="543"/>
      <c r="C902" s="543"/>
      <c r="D902" s="544"/>
      <c r="E902" s="544"/>
      <c r="F902" s="544"/>
      <c r="G902" s="544"/>
      <c r="H902" s="544"/>
      <c r="I902" s="543"/>
      <c r="J902" s="543"/>
      <c r="K902" s="544"/>
      <c r="L902" s="543"/>
      <c r="M902" s="544"/>
      <c r="N902" s="543"/>
      <c r="O902" s="544"/>
      <c r="P902" s="544"/>
      <c r="Q902" s="544"/>
      <c r="R902" s="544"/>
      <c r="S902" s="544"/>
    </row>
    <row r="903" ht="14.25" customHeight="1">
      <c r="A903" s="542"/>
      <c r="B903" s="543"/>
      <c r="C903" s="543"/>
      <c r="D903" s="544"/>
      <c r="E903" s="544"/>
      <c r="F903" s="544"/>
      <c r="G903" s="544"/>
      <c r="H903" s="544"/>
      <c r="I903" s="543"/>
      <c r="J903" s="543"/>
      <c r="K903" s="544"/>
      <c r="L903" s="543"/>
      <c r="M903" s="544"/>
      <c r="N903" s="543"/>
      <c r="O903" s="544"/>
      <c r="P903" s="544"/>
      <c r="Q903" s="544"/>
      <c r="R903" s="544"/>
      <c r="S903" s="544"/>
    </row>
    <row r="904" ht="14.25" customHeight="1">
      <c r="A904" s="542"/>
      <c r="B904" s="543"/>
      <c r="C904" s="543"/>
      <c r="D904" s="544"/>
      <c r="E904" s="544"/>
      <c r="F904" s="544"/>
      <c r="G904" s="544"/>
      <c r="H904" s="544"/>
      <c r="I904" s="543"/>
      <c r="J904" s="543"/>
      <c r="K904" s="544"/>
      <c r="L904" s="543"/>
      <c r="M904" s="544"/>
      <c r="N904" s="543"/>
      <c r="O904" s="544"/>
      <c r="P904" s="544"/>
      <c r="Q904" s="544"/>
      <c r="R904" s="544"/>
      <c r="S904" s="544"/>
    </row>
    <row r="905" ht="14.25" customHeight="1">
      <c r="A905" s="542"/>
      <c r="B905" s="543"/>
      <c r="C905" s="543"/>
      <c r="D905" s="544"/>
      <c r="E905" s="544"/>
      <c r="F905" s="544"/>
      <c r="G905" s="544"/>
      <c r="H905" s="544"/>
      <c r="I905" s="543"/>
      <c r="J905" s="543"/>
      <c r="K905" s="544"/>
      <c r="L905" s="543"/>
      <c r="M905" s="544"/>
      <c r="N905" s="543"/>
      <c r="O905" s="544"/>
      <c r="P905" s="544"/>
      <c r="Q905" s="544"/>
      <c r="R905" s="544"/>
      <c r="S905" s="544"/>
    </row>
    <row r="906" ht="14.25" customHeight="1">
      <c r="A906" s="542"/>
      <c r="B906" s="543"/>
      <c r="C906" s="543"/>
      <c r="D906" s="544"/>
      <c r="E906" s="544"/>
      <c r="F906" s="544"/>
      <c r="G906" s="544"/>
      <c r="H906" s="544"/>
      <c r="I906" s="543"/>
      <c r="J906" s="543"/>
      <c r="K906" s="544"/>
      <c r="L906" s="543"/>
      <c r="M906" s="544"/>
      <c r="N906" s="543"/>
      <c r="O906" s="544"/>
      <c r="P906" s="544"/>
      <c r="Q906" s="544"/>
      <c r="R906" s="544"/>
      <c r="S906" s="544"/>
    </row>
    <row r="907" ht="14.25" customHeight="1">
      <c r="A907" s="542"/>
      <c r="B907" s="543"/>
      <c r="C907" s="543"/>
      <c r="D907" s="544"/>
      <c r="E907" s="544"/>
      <c r="F907" s="544"/>
      <c r="G907" s="544"/>
      <c r="H907" s="544"/>
      <c r="I907" s="543"/>
      <c r="J907" s="543"/>
      <c r="K907" s="544"/>
      <c r="L907" s="543"/>
      <c r="M907" s="544"/>
      <c r="N907" s="543"/>
      <c r="O907" s="544"/>
      <c r="P907" s="544"/>
      <c r="Q907" s="544"/>
      <c r="R907" s="544"/>
      <c r="S907" s="544"/>
    </row>
    <row r="908" ht="14.25" customHeight="1">
      <c r="A908" s="542"/>
      <c r="B908" s="543"/>
      <c r="C908" s="543"/>
      <c r="D908" s="544"/>
      <c r="E908" s="544"/>
      <c r="F908" s="544"/>
      <c r="G908" s="544"/>
      <c r="H908" s="544"/>
      <c r="I908" s="543"/>
      <c r="J908" s="543"/>
      <c r="K908" s="544"/>
      <c r="L908" s="543"/>
      <c r="M908" s="544"/>
      <c r="N908" s="543"/>
      <c r="O908" s="544"/>
      <c r="P908" s="544"/>
      <c r="Q908" s="544"/>
      <c r="R908" s="544"/>
      <c r="S908" s="544"/>
    </row>
    <row r="909" ht="14.25" customHeight="1">
      <c r="A909" s="542"/>
      <c r="B909" s="543"/>
      <c r="C909" s="543"/>
      <c r="D909" s="544"/>
      <c r="E909" s="544"/>
      <c r="F909" s="544"/>
      <c r="G909" s="544"/>
      <c r="H909" s="544"/>
      <c r="I909" s="543"/>
      <c r="J909" s="543"/>
      <c r="K909" s="544"/>
      <c r="L909" s="543"/>
      <c r="M909" s="544"/>
      <c r="N909" s="543"/>
      <c r="O909" s="544"/>
      <c r="P909" s="544"/>
      <c r="Q909" s="544"/>
      <c r="R909" s="544"/>
      <c r="S909" s="544"/>
    </row>
    <row r="910" ht="14.25" customHeight="1">
      <c r="A910" s="542"/>
      <c r="B910" s="543"/>
      <c r="C910" s="543"/>
      <c r="D910" s="544"/>
      <c r="E910" s="544"/>
      <c r="F910" s="544"/>
      <c r="G910" s="544"/>
      <c r="H910" s="544"/>
      <c r="I910" s="543"/>
      <c r="J910" s="543"/>
      <c r="K910" s="544"/>
      <c r="L910" s="543"/>
      <c r="M910" s="544"/>
      <c r="N910" s="543"/>
      <c r="O910" s="544"/>
      <c r="P910" s="544"/>
      <c r="Q910" s="544"/>
      <c r="R910" s="544"/>
      <c r="S910" s="544"/>
    </row>
    <row r="911" ht="14.25" customHeight="1">
      <c r="A911" s="542"/>
      <c r="B911" s="543"/>
      <c r="C911" s="543"/>
      <c r="D911" s="544"/>
      <c r="E911" s="544"/>
      <c r="F911" s="544"/>
      <c r="G911" s="544"/>
      <c r="H911" s="544"/>
      <c r="I911" s="543"/>
      <c r="J911" s="543"/>
      <c r="K911" s="544"/>
      <c r="L911" s="543"/>
      <c r="M911" s="544"/>
      <c r="N911" s="543"/>
      <c r="O911" s="544"/>
      <c r="P911" s="544"/>
      <c r="Q911" s="544"/>
      <c r="R911" s="544"/>
      <c r="S911" s="544"/>
    </row>
    <row r="912" ht="14.25" customHeight="1">
      <c r="A912" s="542"/>
      <c r="B912" s="543"/>
      <c r="C912" s="543"/>
      <c r="D912" s="544"/>
      <c r="E912" s="544"/>
      <c r="F912" s="544"/>
      <c r="G912" s="544"/>
      <c r="H912" s="544"/>
      <c r="I912" s="543"/>
      <c r="J912" s="543"/>
      <c r="K912" s="544"/>
      <c r="L912" s="543"/>
      <c r="M912" s="544"/>
      <c r="N912" s="543"/>
      <c r="O912" s="544"/>
      <c r="P912" s="544"/>
      <c r="Q912" s="544"/>
      <c r="R912" s="544"/>
      <c r="S912" s="544"/>
    </row>
    <row r="913" ht="14.25" customHeight="1">
      <c r="A913" s="542"/>
      <c r="B913" s="543"/>
      <c r="C913" s="543"/>
      <c r="D913" s="544"/>
      <c r="E913" s="544"/>
      <c r="F913" s="544"/>
      <c r="G913" s="544"/>
      <c r="H913" s="544"/>
      <c r="I913" s="543"/>
      <c r="J913" s="543"/>
      <c r="K913" s="544"/>
      <c r="L913" s="543"/>
      <c r="M913" s="544"/>
      <c r="N913" s="543"/>
      <c r="O913" s="544"/>
      <c r="P913" s="544"/>
      <c r="Q913" s="544"/>
      <c r="R913" s="544"/>
      <c r="S913" s="544"/>
    </row>
    <row r="914" ht="14.25" customHeight="1">
      <c r="A914" s="542"/>
      <c r="B914" s="543"/>
      <c r="C914" s="543"/>
      <c r="D914" s="544"/>
      <c r="E914" s="544"/>
      <c r="F914" s="544"/>
      <c r="G914" s="544"/>
      <c r="H914" s="544"/>
      <c r="I914" s="543"/>
      <c r="J914" s="543"/>
      <c r="K914" s="544"/>
      <c r="L914" s="543"/>
      <c r="M914" s="544"/>
      <c r="N914" s="543"/>
      <c r="O914" s="544"/>
      <c r="P914" s="544"/>
      <c r="Q914" s="544"/>
      <c r="R914" s="544"/>
      <c r="S914" s="544"/>
    </row>
    <row r="915" ht="14.25" customHeight="1">
      <c r="A915" s="542"/>
      <c r="B915" s="543"/>
      <c r="C915" s="543"/>
      <c r="D915" s="544"/>
      <c r="E915" s="544"/>
      <c r="F915" s="544"/>
      <c r="G915" s="544"/>
      <c r="H915" s="544"/>
      <c r="I915" s="543"/>
      <c r="J915" s="543"/>
      <c r="K915" s="544"/>
      <c r="L915" s="543"/>
      <c r="M915" s="544"/>
      <c r="N915" s="543"/>
      <c r="O915" s="544"/>
      <c r="P915" s="544"/>
      <c r="Q915" s="544"/>
      <c r="R915" s="544"/>
      <c r="S915" s="544"/>
    </row>
    <row r="916" ht="14.25" customHeight="1">
      <c r="A916" s="542"/>
      <c r="B916" s="543"/>
      <c r="C916" s="543"/>
      <c r="D916" s="544"/>
      <c r="E916" s="544"/>
      <c r="F916" s="544"/>
      <c r="G916" s="544"/>
      <c r="H916" s="544"/>
      <c r="I916" s="543"/>
      <c r="J916" s="543"/>
      <c r="K916" s="544"/>
      <c r="L916" s="543"/>
      <c r="M916" s="544"/>
      <c r="N916" s="543"/>
      <c r="O916" s="544"/>
      <c r="P916" s="544"/>
      <c r="Q916" s="544"/>
      <c r="R916" s="544"/>
      <c r="S916" s="544"/>
    </row>
    <row r="917" ht="14.25" customHeight="1">
      <c r="A917" s="542"/>
      <c r="B917" s="543"/>
      <c r="C917" s="543"/>
      <c r="D917" s="544"/>
      <c r="E917" s="544"/>
      <c r="F917" s="544"/>
      <c r="G917" s="544"/>
      <c r="H917" s="544"/>
      <c r="I917" s="543"/>
      <c r="J917" s="543"/>
      <c r="K917" s="544"/>
      <c r="L917" s="543"/>
      <c r="M917" s="544"/>
      <c r="N917" s="543"/>
      <c r="O917" s="544"/>
      <c r="P917" s="544"/>
      <c r="Q917" s="544"/>
      <c r="R917" s="544"/>
      <c r="S917" s="544"/>
    </row>
    <row r="918" ht="14.25" customHeight="1">
      <c r="A918" s="542"/>
      <c r="B918" s="543"/>
      <c r="C918" s="543"/>
      <c r="D918" s="544"/>
      <c r="E918" s="544"/>
      <c r="F918" s="544"/>
      <c r="G918" s="544"/>
      <c r="H918" s="544"/>
      <c r="I918" s="543"/>
      <c r="J918" s="543"/>
      <c r="K918" s="544"/>
      <c r="L918" s="543"/>
      <c r="M918" s="544"/>
      <c r="N918" s="543"/>
      <c r="O918" s="544"/>
      <c r="P918" s="544"/>
      <c r="Q918" s="544"/>
      <c r="R918" s="544"/>
      <c r="S918" s="544"/>
    </row>
    <row r="919" ht="14.25" customHeight="1">
      <c r="A919" s="542"/>
      <c r="B919" s="543"/>
      <c r="C919" s="543"/>
      <c r="D919" s="544"/>
      <c r="E919" s="544"/>
      <c r="F919" s="544"/>
      <c r="G919" s="544"/>
      <c r="H919" s="544"/>
      <c r="I919" s="543"/>
      <c r="J919" s="543"/>
      <c r="K919" s="544"/>
      <c r="L919" s="543"/>
      <c r="M919" s="544"/>
      <c r="N919" s="543"/>
      <c r="O919" s="544"/>
      <c r="P919" s="544"/>
      <c r="Q919" s="544"/>
      <c r="R919" s="544"/>
      <c r="S919" s="544"/>
    </row>
    <row r="920" ht="14.25" customHeight="1">
      <c r="A920" s="542"/>
      <c r="B920" s="543"/>
      <c r="C920" s="543"/>
      <c r="D920" s="544"/>
      <c r="E920" s="544"/>
      <c r="F920" s="544"/>
      <c r="G920" s="544"/>
      <c r="H920" s="544"/>
      <c r="I920" s="543"/>
      <c r="J920" s="543"/>
      <c r="K920" s="544"/>
      <c r="L920" s="543"/>
      <c r="M920" s="544"/>
      <c r="N920" s="543"/>
      <c r="O920" s="544"/>
      <c r="P920" s="544"/>
      <c r="Q920" s="544"/>
      <c r="R920" s="544"/>
      <c r="S920" s="544"/>
    </row>
    <row r="921" ht="14.25" customHeight="1">
      <c r="A921" s="542"/>
      <c r="B921" s="543"/>
      <c r="C921" s="543"/>
      <c r="D921" s="544"/>
      <c r="E921" s="544"/>
      <c r="F921" s="544"/>
      <c r="G921" s="544"/>
      <c r="H921" s="544"/>
      <c r="I921" s="543"/>
      <c r="J921" s="543"/>
      <c r="K921" s="544"/>
      <c r="L921" s="543"/>
      <c r="M921" s="544"/>
      <c r="N921" s="543"/>
      <c r="O921" s="544"/>
      <c r="P921" s="544"/>
      <c r="Q921" s="544"/>
      <c r="R921" s="544"/>
      <c r="S921" s="544"/>
    </row>
    <row r="922" ht="14.25" customHeight="1">
      <c r="A922" s="542"/>
      <c r="B922" s="543"/>
      <c r="C922" s="543"/>
      <c r="D922" s="544"/>
      <c r="E922" s="544"/>
      <c r="F922" s="544"/>
      <c r="G922" s="544"/>
      <c r="H922" s="544"/>
      <c r="I922" s="543"/>
      <c r="J922" s="543"/>
      <c r="K922" s="544"/>
      <c r="L922" s="543"/>
      <c r="M922" s="544"/>
      <c r="N922" s="543"/>
      <c r="O922" s="544"/>
      <c r="P922" s="544"/>
      <c r="Q922" s="544"/>
      <c r="R922" s="544"/>
      <c r="S922" s="544"/>
    </row>
    <row r="923" ht="14.25" customHeight="1">
      <c r="A923" s="542"/>
      <c r="B923" s="543"/>
      <c r="C923" s="543"/>
      <c r="D923" s="544"/>
      <c r="E923" s="544"/>
      <c r="F923" s="544"/>
      <c r="G923" s="544"/>
      <c r="H923" s="544"/>
      <c r="I923" s="543"/>
      <c r="J923" s="543"/>
      <c r="K923" s="544"/>
      <c r="L923" s="543"/>
      <c r="M923" s="544"/>
      <c r="N923" s="543"/>
      <c r="O923" s="544"/>
      <c r="P923" s="544"/>
      <c r="Q923" s="544"/>
      <c r="R923" s="544"/>
      <c r="S923" s="544"/>
    </row>
    <row r="924" ht="14.25" customHeight="1">
      <c r="A924" s="542"/>
      <c r="B924" s="543"/>
      <c r="C924" s="543"/>
      <c r="D924" s="544"/>
      <c r="E924" s="544"/>
      <c r="F924" s="544"/>
      <c r="G924" s="544"/>
      <c r="H924" s="544"/>
      <c r="I924" s="543"/>
      <c r="J924" s="543"/>
      <c r="K924" s="544"/>
      <c r="L924" s="543"/>
      <c r="M924" s="544"/>
      <c r="N924" s="543"/>
      <c r="O924" s="544"/>
      <c r="P924" s="544"/>
      <c r="Q924" s="544"/>
      <c r="R924" s="544"/>
      <c r="S924" s="544"/>
    </row>
    <row r="925" ht="14.25" customHeight="1">
      <c r="A925" s="542"/>
      <c r="B925" s="543"/>
      <c r="C925" s="543"/>
      <c r="D925" s="544"/>
      <c r="E925" s="544"/>
      <c r="F925" s="544"/>
      <c r="G925" s="544"/>
      <c r="H925" s="544"/>
      <c r="I925" s="543"/>
      <c r="J925" s="543"/>
      <c r="K925" s="544"/>
      <c r="L925" s="543"/>
      <c r="M925" s="544"/>
      <c r="N925" s="543"/>
      <c r="O925" s="544"/>
      <c r="P925" s="544"/>
      <c r="Q925" s="544"/>
      <c r="R925" s="544"/>
      <c r="S925" s="544"/>
    </row>
    <row r="926" ht="14.25" customHeight="1">
      <c r="A926" s="542"/>
      <c r="B926" s="543"/>
      <c r="C926" s="543"/>
      <c r="D926" s="544"/>
      <c r="E926" s="544"/>
      <c r="F926" s="544"/>
      <c r="G926" s="544"/>
      <c r="H926" s="544"/>
      <c r="I926" s="543"/>
      <c r="J926" s="543"/>
      <c r="K926" s="544"/>
      <c r="L926" s="543"/>
      <c r="M926" s="544"/>
      <c r="N926" s="543"/>
      <c r="O926" s="544"/>
      <c r="P926" s="544"/>
      <c r="Q926" s="544"/>
      <c r="R926" s="544"/>
      <c r="S926" s="544"/>
    </row>
    <row r="927" ht="14.25" customHeight="1">
      <c r="A927" s="542"/>
      <c r="B927" s="543"/>
      <c r="C927" s="543"/>
      <c r="D927" s="544"/>
      <c r="E927" s="544"/>
      <c r="F927" s="544"/>
      <c r="G927" s="544"/>
      <c r="H927" s="544"/>
      <c r="I927" s="543"/>
      <c r="J927" s="543"/>
      <c r="K927" s="544"/>
      <c r="L927" s="543"/>
      <c r="M927" s="544"/>
      <c r="N927" s="543"/>
      <c r="O927" s="544"/>
      <c r="P927" s="544"/>
      <c r="Q927" s="544"/>
      <c r="R927" s="544"/>
      <c r="S927" s="544"/>
    </row>
    <row r="928" ht="14.25" customHeight="1">
      <c r="A928" s="542"/>
      <c r="B928" s="543"/>
      <c r="C928" s="543"/>
      <c r="D928" s="544"/>
      <c r="E928" s="544"/>
      <c r="F928" s="544"/>
      <c r="G928" s="544"/>
      <c r="H928" s="544"/>
      <c r="I928" s="543"/>
      <c r="J928" s="543"/>
      <c r="K928" s="544"/>
      <c r="L928" s="543"/>
      <c r="M928" s="544"/>
      <c r="N928" s="543"/>
      <c r="O928" s="544"/>
      <c r="P928" s="544"/>
      <c r="Q928" s="544"/>
      <c r="R928" s="544"/>
      <c r="S928" s="544"/>
    </row>
    <row r="929" ht="14.25" customHeight="1">
      <c r="A929" s="542"/>
      <c r="B929" s="543"/>
      <c r="C929" s="543"/>
      <c r="D929" s="544"/>
      <c r="E929" s="544"/>
      <c r="F929" s="544"/>
      <c r="G929" s="544"/>
      <c r="H929" s="544"/>
      <c r="I929" s="543"/>
      <c r="J929" s="543"/>
      <c r="K929" s="544"/>
      <c r="L929" s="543"/>
      <c r="M929" s="544"/>
      <c r="N929" s="543"/>
      <c r="O929" s="544"/>
      <c r="P929" s="544"/>
      <c r="Q929" s="544"/>
      <c r="R929" s="544"/>
      <c r="S929" s="544"/>
    </row>
    <row r="930" ht="14.25" customHeight="1">
      <c r="A930" s="542"/>
      <c r="B930" s="543"/>
      <c r="C930" s="543"/>
      <c r="D930" s="544"/>
      <c r="E930" s="544"/>
      <c r="F930" s="544"/>
      <c r="G930" s="544"/>
      <c r="H930" s="544"/>
      <c r="I930" s="543"/>
      <c r="J930" s="543"/>
      <c r="K930" s="544"/>
      <c r="L930" s="543"/>
      <c r="M930" s="544"/>
      <c r="N930" s="543"/>
      <c r="O930" s="544"/>
      <c r="P930" s="544"/>
      <c r="Q930" s="544"/>
      <c r="R930" s="544"/>
      <c r="S930" s="544"/>
    </row>
    <row r="931" ht="14.25" customHeight="1">
      <c r="A931" s="542"/>
      <c r="B931" s="543"/>
      <c r="C931" s="543"/>
      <c r="D931" s="544"/>
      <c r="E931" s="544"/>
      <c r="F931" s="544"/>
      <c r="G931" s="544"/>
      <c r="H931" s="544"/>
      <c r="I931" s="543"/>
      <c r="J931" s="543"/>
      <c r="K931" s="544"/>
      <c r="L931" s="543"/>
      <c r="M931" s="544"/>
      <c r="N931" s="543"/>
      <c r="O931" s="544"/>
      <c r="P931" s="544"/>
      <c r="Q931" s="544"/>
      <c r="R931" s="544"/>
      <c r="S931" s="544"/>
    </row>
    <row r="932" ht="14.25" customHeight="1">
      <c r="A932" s="542"/>
      <c r="B932" s="543"/>
      <c r="C932" s="543"/>
      <c r="D932" s="544"/>
      <c r="E932" s="544"/>
      <c r="F932" s="544"/>
      <c r="G932" s="544"/>
      <c r="H932" s="544"/>
      <c r="I932" s="543"/>
      <c r="J932" s="543"/>
      <c r="K932" s="544"/>
      <c r="L932" s="543"/>
      <c r="M932" s="544"/>
      <c r="N932" s="543"/>
      <c r="O932" s="544"/>
      <c r="P932" s="544"/>
      <c r="Q932" s="544"/>
      <c r="R932" s="544"/>
      <c r="S932" s="544"/>
    </row>
    <row r="933" ht="14.25" customHeight="1">
      <c r="A933" s="542"/>
      <c r="B933" s="543"/>
      <c r="C933" s="543"/>
      <c r="D933" s="544"/>
      <c r="E933" s="544"/>
      <c r="F933" s="544"/>
      <c r="G933" s="544"/>
      <c r="H933" s="544"/>
      <c r="I933" s="543"/>
      <c r="J933" s="543"/>
      <c r="K933" s="544"/>
      <c r="L933" s="543"/>
      <c r="M933" s="544"/>
      <c r="N933" s="543"/>
      <c r="O933" s="544"/>
      <c r="P933" s="544"/>
      <c r="Q933" s="544"/>
      <c r="R933" s="544"/>
      <c r="S933" s="544"/>
    </row>
    <row r="934" ht="14.25" customHeight="1">
      <c r="A934" s="542"/>
      <c r="B934" s="543"/>
      <c r="C934" s="543"/>
      <c r="D934" s="544"/>
      <c r="E934" s="544"/>
      <c r="F934" s="544"/>
      <c r="G934" s="544"/>
      <c r="H934" s="544"/>
      <c r="I934" s="543"/>
      <c r="J934" s="543"/>
      <c r="K934" s="544"/>
      <c r="L934" s="543"/>
      <c r="M934" s="544"/>
      <c r="N934" s="543"/>
      <c r="O934" s="544"/>
      <c r="P934" s="544"/>
      <c r="Q934" s="544"/>
      <c r="R934" s="544"/>
      <c r="S934" s="544"/>
    </row>
    <row r="935" ht="14.25" customHeight="1">
      <c r="A935" s="542"/>
      <c r="B935" s="543"/>
      <c r="C935" s="543"/>
      <c r="D935" s="544"/>
      <c r="E935" s="544"/>
      <c r="F935" s="544"/>
      <c r="G935" s="544"/>
      <c r="H935" s="544"/>
      <c r="I935" s="543"/>
      <c r="J935" s="543"/>
      <c r="K935" s="544"/>
      <c r="L935" s="543"/>
      <c r="M935" s="544"/>
      <c r="N935" s="543"/>
      <c r="O935" s="544"/>
      <c r="P935" s="544"/>
      <c r="Q935" s="544"/>
      <c r="R935" s="544"/>
      <c r="S935" s="544"/>
    </row>
    <row r="936" ht="14.25" customHeight="1">
      <c r="A936" s="542"/>
      <c r="B936" s="543"/>
      <c r="C936" s="543"/>
      <c r="D936" s="544"/>
      <c r="E936" s="544"/>
      <c r="F936" s="544"/>
      <c r="G936" s="544"/>
      <c r="H936" s="544"/>
      <c r="I936" s="543"/>
      <c r="J936" s="543"/>
      <c r="K936" s="544"/>
      <c r="L936" s="543"/>
      <c r="M936" s="544"/>
      <c r="N936" s="543"/>
      <c r="O936" s="544"/>
      <c r="P936" s="544"/>
      <c r="Q936" s="544"/>
      <c r="R936" s="544"/>
      <c r="S936" s="544"/>
    </row>
    <row r="937" ht="14.25" customHeight="1">
      <c r="A937" s="542"/>
      <c r="B937" s="543"/>
      <c r="C937" s="543"/>
      <c r="D937" s="544"/>
      <c r="E937" s="544"/>
      <c r="F937" s="544"/>
      <c r="G937" s="544"/>
      <c r="H937" s="544"/>
      <c r="I937" s="543"/>
      <c r="J937" s="543"/>
      <c r="K937" s="544"/>
      <c r="L937" s="543"/>
      <c r="M937" s="544"/>
      <c r="N937" s="543"/>
      <c r="O937" s="544"/>
      <c r="P937" s="544"/>
      <c r="Q937" s="544"/>
      <c r="R937" s="544"/>
      <c r="S937" s="544"/>
    </row>
    <row r="938" ht="14.25" customHeight="1">
      <c r="A938" s="542"/>
      <c r="B938" s="543"/>
      <c r="C938" s="543"/>
      <c r="D938" s="544"/>
      <c r="E938" s="544"/>
      <c r="F938" s="544"/>
      <c r="G938" s="544"/>
      <c r="H938" s="544"/>
      <c r="I938" s="543"/>
      <c r="J938" s="543"/>
      <c r="K938" s="544"/>
      <c r="L938" s="543"/>
      <c r="M938" s="544"/>
      <c r="N938" s="543"/>
      <c r="O938" s="544"/>
      <c r="P938" s="544"/>
      <c r="Q938" s="544"/>
      <c r="R938" s="544"/>
      <c r="S938" s="544"/>
    </row>
    <row r="939" ht="14.25" customHeight="1">
      <c r="A939" s="542"/>
      <c r="B939" s="543"/>
      <c r="C939" s="543"/>
      <c r="D939" s="544"/>
      <c r="E939" s="544"/>
      <c r="F939" s="544"/>
      <c r="G939" s="544"/>
      <c r="H939" s="544"/>
      <c r="I939" s="543"/>
      <c r="J939" s="543"/>
      <c r="K939" s="544"/>
      <c r="L939" s="543"/>
      <c r="M939" s="544"/>
      <c r="N939" s="543"/>
      <c r="O939" s="544"/>
      <c r="P939" s="544"/>
      <c r="Q939" s="544"/>
      <c r="R939" s="544"/>
      <c r="S939" s="544"/>
    </row>
    <row r="940" ht="14.25" customHeight="1">
      <c r="A940" s="542"/>
      <c r="B940" s="543"/>
      <c r="C940" s="543"/>
      <c r="D940" s="544"/>
      <c r="E940" s="544"/>
      <c r="F940" s="544"/>
      <c r="G940" s="544"/>
      <c r="H940" s="544"/>
      <c r="I940" s="543"/>
      <c r="J940" s="543"/>
      <c r="K940" s="544"/>
      <c r="L940" s="543"/>
      <c r="M940" s="544"/>
      <c r="N940" s="543"/>
      <c r="O940" s="544"/>
      <c r="P940" s="544"/>
      <c r="Q940" s="544"/>
      <c r="R940" s="544"/>
      <c r="S940" s="544"/>
    </row>
    <row r="941" ht="14.25" customHeight="1">
      <c r="A941" s="542"/>
      <c r="B941" s="543"/>
      <c r="C941" s="543"/>
      <c r="D941" s="544"/>
      <c r="E941" s="544"/>
      <c r="F941" s="544"/>
      <c r="G941" s="544"/>
      <c r="H941" s="544"/>
      <c r="I941" s="543"/>
      <c r="J941" s="543"/>
      <c r="K941" s="544"/>
      <c r="L941" s="543"/>
      <c r="M941" s="544"/>
      <c r="N941" s="543"/>
      <c r="O941" s="544"/>
      <c r="P941" s="544"/>
      <c r="Q941" s="544"/>
      <c r="R941" s="544"/>
      <c r="S941" s="544"/>
    </row>
    <row r="942" ht="14.25" customHeight="1">
      <c r="A942" s="542"/>
      <c r="B942" s="543"/>
      <c r="C942" s="543"/>
      <c r="D942" s="544"/>
      <c r="E942" s="544"/>
      <c r="F942" s="544"/>
      <c r="G942" s="544"/>
      <c r="H942" s="544"/>
      <c r="I942" s="543"/>
      <c r="J942" s="543"/>
      <c r="K942" s="544"/>
      <c r="L942" s="543"/>
      <c r="M942" s="544"/>
      <c r="N942" s="543"/>
      <c r="O942" s="544"/>
      <c r="P942" s="544"/>
      <c r="Q942" s="544"/>
      <c r="R942" s="544"/>
      <c r="S942" s="544"/>
    </row>
    <row r="943" ht="14.25" customHeight="1">
      <c r="A943" s="542"/>
      <c r="B943" s="543"/>
      <c r="C943" s="543"/>
      <c r="D943" s="544"/>
      <c r="E943" s="544"/>
      <c r="F943" s="544"/>
      <c r="G943" s="544"/>
      <c r="H943" s="544"/>
      <c r="I943" s="543"/>
      <c r="J943" s="543"/>
      <c r="K943" s="544"/>
      <c r="L943" s="543"/>
      <c r="M943" s="544"/>
      <c r="N943" s="543"/>
      <c r="O943" s="544"/>
      <c r="P943" s="544"/>
      <c r="Q943" s="544"/>
      <c r="R943" s="544"/>
      <c r="S943" s="544"/>
    </row>
    <row r="944" ht="14.25" customHeight="1">
      <c r="A944" s="542"/>
      <c r="B944" s="543"/>
      <c r="C944" s="543"/>
      <c r="D944" s="544"/>
      <c r="E944" s="544"/>
      <c r="F944" s="544"/>
      <c r="G944" s="544"/>
      <c r="H944" s="544"/>
      <c r="I944" s="543"/>
      <c r="J944" s="543"/>
      <c r="K944" s="544"/>
      <c r="L944" s="543"/>
      <c r="M944" s="544"/>
      <c r="N944" s="543"/>
      <c r="O944" s="544"/>
      <c r="P944" s="544"/>
      <c r="Q944" s="544"/>
      <c r="R944" s="544"/>
      <c r="S944" s="544"/>
    </row>
    <row r="945" ht="14.25" customHeight="1">
      <c r="A945" s="542"/>
      <c r="B945" s="543"/>
      <c r="C945" s="543"/>
      <c r="D945" s="544"/>
      <c r="E945" s="544"/>
      <c r="F945" s="544"/>
      <c r="G945" s="544"/>
      <c r="H945" s="544"/>
      <c r="I945" s="543"/>
      <c r="J945" s="543"/>
      <c r="K945" s="544"/>
      <c r="L945" s="543"/>
      <c r="M945" s="544"/>
      <c r="N945" s="543"/>
      <c r="O945" s="544"/>
      <c r="P945" s="544"/>
      <c r="Q945" s="544"/>
      <c r="R945" s="544"/>
      <c r="S945" s="544"/>
    </row>
    <row r="946" ht="14.25" customHeight="1">
      <c r="A946" s="542"/>
      <c r="B946" s="543"/>
      <c r="C946" s="543"/>
      <c r="D946" s="544"/>
      <c r="E946" s="544"/>
      <c r="F946" s="544"/>
      <c r="G946" s="544"/>
      <c r="H946" s="544"/>
      <c r="I946" s="543"/>
      <c r="J946" s="543"/>
      <c r="K946" s="544"/>
      <c r="L946" s="543"/>
      <c r="M946" s="544"/>
      <c r="N946" s="543"/>
      <c r="O946" s="544"/>
      <c r="P946" s="544"/>
      <c r="Q946" s="544"/>
      <c r="R946" s="544"/>
      <c r="S946" s="544"/>
    </row>
    <row r="947" ht="14.25" customHeight="1">
      <c r="A947" s="542"/>
      <c r="B947" s="543"/>
      <c r="C947" s="543"/>
      <c r="D947" s="544"/>
      <c r="E947" s="544"/>
      <c r="F947" s="544"/>
      <c r="G947" s="544"/>
      <c r="H947" s="544"/>
      <c r="I947" s="543"/>
      <c r="J947" s="543"/>
      <c r="K947" s="544"/>
      <c r="L947" s="543"/>
      <c r="M947" s="544"/>
      <c r="N947" s="543"/>
      <c r="O947" s="544"/>
      <c r="P947" s="544"/>
      <c r="Q947" s="544"/>
      <c r="R947" s="544"/>
      <c r="S947" s="544"/>
    </row>
    <row r="948" ht="14.25" customHeight="1">
      <c r="A948" s="542"/>
      <c r="B948" s="543"/>
      <c r="C948" s="543"/>
      <c r="D948" s="544"/>
      <c r="E948" s="544"/>
      <c r="F948" s="544"/>
      <c r="G948" s="544"/>
      <c r="H948" s="544"/>
      <c r="I948" s="543"/>
      <c r="J948" s="543"/>
      <c r="K948" s="544"/>
      <c r="L948" s="543"/>
      <c r="M948" s="544"/>
      <c r="N948" s="543"/>
      <c r="O948" s="544"/>
      <c r="P948" s="544"/>
      <c r="Q948" s="544"/>
      <c r="R948" s="544"/>
      <c r="S948" s="544"/>
    </row>
    <row r="949" ht="14.25" customHeight="1">
      <c r="A949" s="542"/>
      <c r="B949" s="543"/>
      <c r="C949" s="543"/>
      <c r="D949" s="544"/>
      <c r="E949" s="544"/>
      <c r="F949" s="544"/>
      <c r="G949" s="544"/>
      <c r="H949" s="544"/>
      <c r="I949" s="543"/>
      <c r="J949" s="543"/>
      <c r="K949" s="544"/>
      <c r="L949" s="543"/>
      <c r="M949" s="544"/>
      <c r="N949" s="543"/>
      <c r="O949" s="544"/>
      <c r="P949" s="544"/>
      <c r="Q949" s="544"/>
      <c r="R949" s="544"/>
      <c r="S949" s="544"/>
    </row>
    <row r="950" ht="14.25" customHeight="1">
      <c r="A950" s="542"/>
      <c r="B950" s="543"/>
      <c r="C950" s="543"/>
      <c r="D950" s="544"/>
      <c r="E950" s="544"/>
      <c r="F950" s="544"/>
      <c r="G950" s="544"/>
      <c r="H950" s="544"/>
      <c r="I950" s="543"/>
      <c r="J950" s="543"/>
      <c r="K950" s="544"/>
      <c r="L950" s="543"/>
      <c r="M950" s="544"/>
      <c r="N950" s="543"/>
      <c r="O950" s="544"/>
      <c r="P950" s="544"/>
      <c r="Q950" s="544"/>
      <c r="R950" s="544"/>
      <c r="S950" s="544"/>
    </row>
    <row r="951" ht="14.25" customHeight="1">
      <c r="A951" s="542"/>
      <c r="B951" s="543"/>
      <c r="C951" s="543"/>
      <c r="D951" s="544"/>
      <c r="E951" s="544"/>
      <c r="F951" s="544"/>
      <c r="G951" s="544"/>
      <c r="H951" s="544"/>
      <c r="I951" s="543"/>
      <c r="J951" s="543"/>
      <c r="K951" s="544"/>
      <c r="L951" s="543"/>
      <c r="M951" s="544"/>
      <c r="N951" s="543"/>
      <c r="O951" s="544"/>
      <c r="P951" s="544"/>
      <c r="Q951" s="544"/>
      <c r="R951" s="544"/>
      <c r="S951" s="544"/>
    </row>
    <row r="952" ht="14.25" customHeight="1">
      <c r="A952" s="542"/>
      <c r="B952" s="543"/>
      <c r="C952" s="543"/>
      <c r="D952" s="544"/>
      <c r="E952" s="544"/>
      <c r="F952" s="544"/>
      <c r="G952" s="544"/>
      <c r="H952" s="544"/>
      <c r="I952" s="543"/>
      <c r="J952" s="543"/>
      <c r="K952" s="544"/>
      <c r="L952" s="543"/>
      <c r="M952" s="544"/>
      <c r="N952" s="543"/>
      <c r="O952" s="544"/>
      <c r="P952" s="544"/>
      <c r="Q952" s="544"/>
      <c r="R952" s="544"/>
      <c r="S952" s="544"/>
    </row>
    <row r="953" ht="14.25" customHeight="1">
      <c r="A953" s="542"/>
      <c r="B953" s="543"/>
      <c r="C953" s="543"/>
      <c r="D953" s="544"/>
      <c r="E953" s="544"/>
      <c r="F953" s="544"/>
      <c r="G953" s="544"/>
      <c r="H953" s="544"/>
      <c r="I953" s="543"/>
      <c r="J953" s="543"/>
      <c r="K953" s="544"/>
      <c r="L953" s="543"/>
      <c r="M953" s="544"/>
      <c r="N953" s="543"/>
      <c r="O953" s="544"/>
      <c r="P953" s="544"/>
      <c r="Q953" s="544"/>
      <c r="R953" s="544"/>
      <c r="S953" s="544"/>
    </row>
    <row r="954" ht="14.25" customHeight="1">
      <c r="A954" s="542"/>
      <c r="B954" s="543"/>
      <c r="C954" s="543"/>
      <c r="D954" s="544"/>
      <c r="E954" s="544"/>
      <c r="F954" s="544"/>
      <c r="G954" s="544"/>
      <c r="H954" s="544"/>
      <c r="I954" s="543"/>
      <c r="J954" s="543"/>
      <c r="K954" s="544"/>
      <c r="L954" s="543"/>
      <c r="M954" s="544"/>
      <c r="N954" s="543"/>
      <c r="O954" s="544"/>
      <c r="P954" s="544"/>
      <c r="Q954" s="544"/>
      <c r="R954" s="544"/>
      <c r="S954" s="544"/>
    </row>
    <row r="955" ht="14.25" customHeight="1">
      <c r="A955" s="542"/>
      <c r="B955" s="543"/>
      <c r="C955" s="543"/>
      <c r="D955" s="544"/>
      <c r="E955" s="544"/>
      <c r="F955" s="544"/>
      <c r="G955" s="544"/>
      <c r="H955" s="544"/>
      <c r="I955" s="543"/>
      <c r="J955" s="543"/>
      <c r="K955" s="544"/>
      <c r="L955" s="543"/>
      <c r="M955" s="544"/>
      <c r="N955" s="543"/>
      <c r="O955" s="544"/>
      <c r="P955" s="544"/>
      <c r="Q955" s="544"/>
      <c r="R955" s="544"/>
      <c r="S955" s="544"/>
    </row>
    <row r="956" ht="14.25" customHeight="1">
      <c r="A956" s="542"/>
      <c r="B956" s="543"/>
      <c r="C956" s="543"/>
      <c r="D956" s="544"/>
      <c r="E956" s="544"/>
      <c r="F956" s="544"/>
      <c r="G956" s="544"/>
      <c r="H956" s="544"/>
      <c r="I956" s="543"/>
      <c r="J956" s="543"/>
      <c r="K956" s="544"/>
      <c r="L956" s="543"/>
      <c r="M956" s="544"/>
      <c r="N956" s="543"/>
      <c r="O956" s="544"/>
      <c r="P956" s="544"/>
      <c r="Q956" s="544"/>
      <c r="R956" s="544"/>
      <c r="S956" s="544"/>
    </row>
    <row r="957" ht="14.25" customHeight="1">
      <c r="A957" s="542"/>
      <c r="B957" s="543"/>
      <c r="C957" s="543"/>
      <c r="D957" s="544"/>
      <c r="E957" s="544"/>
      <c r="F957" s="544"/>
      <c r="G957" s="544"/>
      <c r="H957" s="544"/>
      <c r="I957" s="543"/>
      <c r="J957" s="543"/>
      <c r="K957" s="544"/>
      <c r="L957" s="543"/>
      <c r="M957" s="544"/>
      <c r="N957" s="543"/>
      <c r="O957" s="544"/>
      <c r="P957" s="544"/>
      <c r="Q957" s="544"/>
      <c r="R957" s="544"/>
      <c r="S957" s="544"/>
    </row>
    <row r="958" ht="14.25" customHeight="1">
      <c r="A958" s="542"/>
      <c r="B958" s="543"/>
      <c r="C958" s="543"/>
      <c r="D958" s="544"/>
      <c r="E958" s="544"/>
      <c r="F958" s="544"/>
      <c r="G958" s="544"/>
      <c r="H958" s="544"/>
      <c r="I958" s="543"/>
      <c r="J958" s="543"/>
      <c r="K958" s="544"/>
      <c r="L958" s="543"/>
      <c r="M958" s="544"/>
      <c r="N958" s="543"/>
      <c r="O958" s="544"/>
      <c r="P958" s="544"/>
      <c r="Q958" s="544"/>
      <c r="R958" s="544"/>
      <c r="S958" s="544"/>
    </row>
    <row r="959" ht="14.25" customHeight="1">
      <c r="A959" s="542"/>
      <c r="B959" s="543"/>
      <c r="C959" s="543"/>
      <c r="D959" s="544"/>
      <c r="E959" s="544"/>
      <c r="F959" s="544"/>
      <c r="G959" s="544"/>
      <c r="H959" s="544"/>
      <c r="I959" s="543"/>
      <c r="J959" s="543"/>
      <c r="K959" s="544"/>
      <c r="L959" s="543"/>
      <c r="M959" s="544"/>
      <c r="N959" s="543"/>
      <c r="O959" s="544"/>
      <c r="P959" s="544"/>
      <c r="Q959" s="544"/>
      <c r="R959" s="544"/>
      <c r="S959" s="544"/>
    </row>
    <row r="960" ht="14.25" customHeight="1">
      <c r="A960" s="542"/>
      <c r="B960" s="543"/>
      <c r="C960" s="543"/>
      <c r="D960" s="544"/>
      <c r="E960" s="544"/>
      <c r="F960" s="544"/>
      <c r="G960" s="544"/>
      <c r="H960" s="544"/>
      <c r="I960" s="543"/>
      <c r="J960" s="543"/>
      <c r="K960" s="544"/>
      <c r="L960" s="543"/>
      <c r="M960" s="544"/>
      <c r="N960" s="543"/>
      <c r="O960" s="544"/>
      <c r="P960" s="544"/>
      <c r="Q960" s="544"/>
      <c r="R960" s="544"/>
      <c r="S960" s="544"/>
    </row>
    <row r="961" ht="14.25" customHeight="1">
      <c r="A961" s="542"/>
      <c r="B961" s="543"/>
      <c r="C961" s="543"/>
      <c r="D961" s="544"/>
      <c r="E961" s="544"/>
      <c r="F961" s="544"/>
      <c r="G961" s="544"/>
      <c r="H961" s="544"/>
      <c r="I961" s="543"/>
      <c r="J961" s="543"/>
      <c r="K961" s="544"/>
      <c r="L961" s="543"/>
      <c r="M961" s="544"/>
      <c r="N961" s="543"/>
      <c r="O961" s="544"/>
      <c r="P961" s="544"/>
      <c r="Q961" s="544"/>
      <c r="R961" s="544"/>
      <c r="S961" s="544"/>
    </row>
    <row r="962" ht="14.25" customHeight="1">
      <c r="A962" s="542"/>
      <c r="B962" s="543"/>
      <c r="C962" s="543"/>
      <c r="D962" s="544"/>
      <c r="E962" s="544"/>
      <c r="F962" s="544"/>
      <c r="G962" s="544"/>
      <c r="H962" s="544"/>
      <c r="I962" s="543"/>
      <c r="J962" s="543"/>
      <c r="K962" s="544"/>
      <c r="L962" s="543"/>
      <c r="M962" s="544"/>
      <c r="N962" s="543"/>
      <c r="O962" s="544"/>
      <c r="P962" s="544"/>
      <c r="Q962" s="544"/>
      <c r="R962" s="544"/>
      <c r="S962" s="544"/>
    </row>
    <row r="963" ht="14.25" customHeight="1">
      <c r="A963" s="542"/>
      <c r="B963" s="543"/>
      <c r="C963" s="543"/>
      <c r="D963" s="544"/>
      <c r="E963" s="544"/>
      <c r="F963" s="544"/>
      <c r="G963" s="544"/>
      <c r="H963" s="544"/>
      <c r="I963" s="543"/>
      <c r="J963" s="543"/>
      <c r="K963" s="544"/>
      <c r="L963" s="543"/>
      <c r="M963" s="544"/>
      <c r="N963" s="543"/>
      <c r="O963" s="544"/>
      <c r="P963" s="544"/>
      <c r="Q963" s="544"/>
      <c r="R963" s="544"/>
      <c r="S963" s="544"/>
    </row>
    <row r="964" ht="14.25" customHeight="1">
      <c r="A964" s="542"/>
      <c r="B964" s="543"/>
      <c r="C964" s="543"/>
      <c r="D964" s="544"/>
      <c r="E964" s="544"/>
      <c r="F964" s="544"/>
      <c r="G964" s="544"/>
      <c r="H964" s="544"/>
      <c r="I964" s="543"/>
      <c r="J964" s="543"/>
      <c r="K964" s="544"/>
      <c r="L964" s="543"/>
      <c r="M964" s="544"/>
      <c r="N964" s="543"/>
      <c r="O964" s="544"/>
      <c r="P964" s="544"/>
      <c r="Q964" s="544"/>
      <c r="R964" s="544"/>
      <c r="S964" s="544"/>
    </row>
    <row r="965" ht="14.25" customHeight="1">
      <c r="A965" s="542"/>
      <c r="B965" s="543"/>
      <c r="C965" s="543"/>
      <c r="D965" s="544"/>
      <c r="E965" s="544"/>
      <c r="F965" s="544"/>
      <c r="G965" s="544"/>
      <c r="H965" s="544"/>
      <c r="I965" s="543"/>
      <c r="J965" s="543"/>
      <c r="K965" s="544"/>
      <c r="L965" s="543"/>
      <c r="M965" s="544"/>
      <c r="N965" s="543"/>
      <c r="O965" s="544"/>
      <c r="P965" s="544"/>
      <c r="Q965" s="544"/>
      <c r="R965" s="544"/>
      <c r="S965" s="544"/>
    </row>
    <row r="966" ht="14.25" customHeight="1">
      <c r="A966" s="542"/>
      <c r="B966" s="543"/>
      <c r="C966" s="543"/>
      <c r="D966" s="544"/>
      <c r="E966" s="544"/>
      <c r="F966" s="544"/>
      <c r="G966" s="544"/>
      <c r="H966" s="544"/>
      <c r="I966" s="543"/>
      <c r="J966" s="543"/>
      <c r="K966" s="544"/>
      <c r="L966" s="543"/>
      <c r="M966" s="544"/>
      <c r="N966" s="543"/>
      <c r="O966" s="544"/>
      <c r="P966" s="544"/>
      <c r="Q966" s="544"/>
      <c r="R966" s="544"/>
      <c r="S966" s="544"/>
    </row>
    <row r="967" ht="14.25" customHeight="1">
      <c r="A967" s="542"/>
      <c r="B967" s="543"/>
      <c r="C967" s="543"/>
      <c r="D967" s="544"/>
      <c r="E967" s="544"/>
      <c r="F967" s="544"/>
      <c r="G967" s="544"/>
      <c r="H967" s="544"/>
      <c r="I967" s="543"/>
      <c r="J967" s="543"/>
      <c r="K967" s="544"/>
      <c r="L967" s="543"/>
      <c r="M967" s="544"/>
      <c r="N967" s="543"/>
      <c r="O967" s="544"/>
      <c r="P967" s="544"/>
      <c r="Q967" s="544"/>
      <c r="R967" s="544"/>
      <c r="S967" s="544"/>
    </row>
    <row r="968" ht="14.25" customHeight="1">
      <c r="A968" s="542"/>
      <c r="B968" s="543"/>
      <c r="C968" s="543"/>
      <c r="D968" s="544"/>
      <c r="E968" s="544"/>
      <c r="F968" s="544"/>
      <c r="G968" s="544"/>
      <c r="H968" s="544"/>
      <c r="I968" s="543"/>
      <c r="J968" s="543"/>
      <c r="K968" s="544"/>
      <c r="L968" s="543"/>
      <c r="M968" s="544"/>
      <c r="N968" s="543"/>
      <c r="O968" s="544"/>
      <c r="P968" s="544"/>
      <c r="Q968" s="544"/>
      <c r="R968" s="544"/>
      <c r="S968" s="544"/>
    </row>
    <row r="969" ht="14.25" customHeight="1">
      <c r="A969" s="542"/>
      <c r="B969" s="543"/>
      <c r="C969" s="543"/>
      <c r="D969" s="544"/>
      <c r="E969" s="544"/>
      <c r="F969" s="544"/>
      <c r="G969" s="544"/>
      <c r="H969" s="544"/>
      <c r="I969" s="543"/>
      <c r="J969" s="543"/>
      <c r="K969" s="544"/>
      <c r="L969" s="543"/>
      <c r="M969" s="544"/>
      <c r="N969" s="543"/>
      <c r="O969" s="544"/>
      <c r="P969" s="544"/>
      <c r="Q969" s="544"/>
      <c r="R969" s="544"/>
      <c r="S969" s="544"/>
    </row>
    <row r="970" ht="14.25" customHeight="1">
      <c r="A970" s="542"/>
      <c r="B970" s="543"/>
      <c r="C970" s="543"/>
      <c r="D970" s="544"/>
      <c r="E970" s="544"/>
      <c r="F970" s="544"/>
      <c r="G970" s="544"/>
      <c r="H970" s="544"/>
      <c r="I970" s="543"/>
      <c r="J970" s="543"/>
      <c r="K970" s="544"/>
      <c r="L970" s="543"/>
      <c r="M970" s="544"/>
      <c r="N970" s="543"/>
      <c r="O970" s="544"/>
      <c r="P970" s="544"/>
      <c r="Q970" s="544"/>
      <c r="R970" s="544"/>
      <c r="S970" s="544"/>
    </row>
    <row r="971" ht="14.25" customHeight="1">
      <c r="A971" s="542"/>
      <c r="B971" s="543"/>
      <c r="C971" s="543"/>
      <c r="D971" s="544"/>
      <c r="E971" s="544"/>
      <c r="F971" s="544"/>
      <c r="G971" s="544"/>
      <c r="H971" s="544"/>
      <c r="I971" s="543"/>
      <c r="J971" s="543"/>
      <c r="K971" s="544"/>
      <c r="L971" s="543"/>
      <c r="M971" s="544"/>
      <c r="N971" s="543"/>
      <c r="O971" s="544"/>
      <c r="P971" s="544"/>
      <c r="Q971" s="544"/>
      <c r="R971" s="544"/>
      <c r="S971" s="544"/>
    </row>
    <row r="972" ht="14.25" customHeight="1">
      <c r="A972" s="542"/>
      <c r="B972" s="543"/>
      <c r="C972" s="543"/>
      <c r="D972" s="544"/>
      <c r="E972" s="544"/>
      <c r="F972" s="544"/>
      <c r="G972" s="544"/>
      <c r="H972" s="544"/>
      <c r="I972" s="543"/>
      <c r="J972" s="543"/>
      <c r="K972" s="544"/>
      <c r="L972" s="543"/>
      <c r="M972" s="544"/>
      <c r="N972" s="543"/>
      <c r="O972" s="544"/>
      <c r="P972" s="544"/>
      <c r="Q972" s="544"/>
      <c r="R972" s="544"/>
      <c r="S972" s="544"/>
    </row>
    <row r="973" ht="14.25" customHeight="1">
      <c r="A973" s="542"/>
      <c r="B973" s="543"/>
      <c r="C973" s="543"/>
      <c r="D973" s="544"/>
      <c r="E973" s="544"/>
      <c r="F973" s="544"/>
      <c r="G973" s="544"/>
      <c r="H973" s="544"/>
      <c r="I973" s="543"/>
      <c r="J973" s="543"/>
      <c r="K973" s="544"/>
      <c r="L973" s="543"/>
      <c r="M973" s="544"/>
      <c r="N973" s="543"/>
      <c r="O973" s="544"/>
      <c r="P973" s="544"/>
      <c r="Q973" s="544"/>
      <c r="R973" s="544"/>
      <c r="S973" s="544"/>
    </row>
    <row r="974" ht="14.25" customHeight="1">
      <c r="A974" s="542"/>
      <c r="B974" s="543"/>
      <c r="C974" s="543"/>
      <c r="D974" s="544"/>
      <c r="E974" s="544"/>
      <c r="F974" s="544"/>
      <c r="G974" s="544"/>
      <c r="H974" s="544"/>
      <c r="I974" s="543"/>
      <c r="J974" s="543"/>
      <c r="K974" s="544"/>
      <c r="L974" s="543"/>
      <c r="M974" s="544"/>
      <c r="N974" s="543"/>
      <c r="O974" s="544"/>
      <c r="P974" s="544"/>
      <c r="Q974" s="544"/>
      <c r="R974" s="544"/>
      <c r="S974" s="544"/>
    </row>
    <row r="975" ht="14.25" customHeight="1">
      <c r="A975" s="542"/>
      <c r="B975" s="543"/>
      <c r="C975" s="543"/>
      <c r="D975" s="544"/>
      <c r="E975" s="544"/>
      <c r="F975" s="544"/>
      <c r="G975" s="544"/>
      <c r="H975" s="544"/>
      <c r="I975" s="543"/>
      <c r="J975" s="543"/>
      <c r="K975" s="544"/>
      <c r="L975" s="543"/>
      <c r="M975" s="544"/>
      <c r="N975" s="543"/>
      <c r="O975" s="544"/>
      <c r="P975" s="544"/>
      <c r="Q975" s="544"/>
      <c r="R975" s="544"/>
      <c r="S975" s="544"/>
    </row>
    <row r="976" ht="14.25" customHeight="1">
      <c r="A976" s="542"/>
      <c r="B976" s="543"/>
      <c r="C976" s="543"/>
      <c r="D976" s="544"/>
      <c r="E976" s="544"/>
      <c r="F976" s="544"/>
      <c r="G976" s="544"/>
      <c r="H976" s="544"/>
      <c r="I976" s="543"/>
      <c r="J976" s="543"/>
      <c r="K976" s="544"/>
      <c r="L976" s="543"/>
      <c r="M976" s="544"/>
      <c r="N976" s="543"/>
      <c r="O976" s="544"/>
      <c r="P976" s="544"/>
      <c r="Q976" s="544"/>
      <c r="R976" s="544"/>
      <c r="S976" s="544"/>
    </row>
    <row r="977" ht="14.25" customHeight="1">
      <c r="A977" s="542"/>
      <c r="B977" s="543"/>
      <c r="C977" s="543"/>
      <c r="D977" s="544"/>
      <c r="E977" s="544"/>
      <c r="F977" s="544"/>
      <c r="G977" s="544"/>
      <c r="H977" s="544"/>
      <c r="I977" s="543"/>
      <c r="J977" s="543"/>
      <c r="K977" s="544"/>
      <c r="L977" s="543"/>
      <c r="M977" s="544"/>
      <c r="N977" s="543"/>
      <c r="O977" s="544"/>
      <c r="P977" s="544"/>
      <c r="Q977" s="544"/>
      <c r="R977" s="544"/>
      <c r="S977" s="544"/>
    </row>
    <row r="978" ht="14.25" customHeight="1">
      <c r="A978" s="542"/>
      <c r="B978" s="543"/>
      <c r="C978" s="543"/>
      <c r="D978" s="544"/>
      <c r="E978" s="544"/>
      <c r="F978" s="544"/>
      <c r="G978" s="544"/>
      <c r="H978" s="544"/>
      <c r="I978" s="543"/>
      <c r="J978" s="543"/>
      <c r="K978" s="544"/>
      <c r="L978" s="543"/>
      <c r="M978" s="544"/>
      <c r="N978" s="543"/>
      <c r="O978" s="544"/>
      <c r="P978" s="544"/>
      <c r="Q978" s="544"/>
      <c r="R978" s="544"/>
      <c r="S978" s="544"/>
    </row>
    <row r="979" ht="14.25" customHeight="1">
      <c r="A979" s="542"/>
      <c r="B979" s="543"/>
      <c r="C979" s="543"/>
      <c r="D979" s="544"/>
      <c r="E979" s="544"/>
      <c r="F979" s="544"/>
      <c r="G979" s="544"/>
      <c r="H979" s="544"/>
      <c r="I979" s="543"/>
      <c r="J979" s="543"/>
      <c r="K979" s="544"/>
      <c r="L979" s="543"/>
      <c r="M979" s="544"/>
      <c r="N979" s="543"/>
      <c r="O979" s="544"/>
      <c r="P979" s="544"/>
      <c r="Q979" s="544"/>
      <c r="R979" s="544"/>
      <c r="S979" s="544"/>
    </row>
    <row r="980" ht="14.25" customHeight="1">
      <c r="A980" s="542"/>
      <c r="B980" s="543"/>
      <c r="C980" s="543"/>
      <c r="D980" s="544"/>
      <c r="E980" s="544"/>
      <c r="F980" s="544"/>
      <c r="G980" s="544"/>
      <c r="H980" s="544"/>
      <c r="I980" s="543"/>
      <c r="J980" s="543"/>
      <c r="K980" s="544"/>
      <c r="L980" s="543"/>
      <c r="M980" s="544"/>
      <c r="N980" s="543"/>
      <c r="O980" s="544"/>
      <c r="P980" s="544"/>
      <c r="Q980" s="544"/>
      <c r="R980" s="544"/>
      <c r="S980" s="544"/>
    </row>
    <row r="981" ht="14.25" customHeight="1">
      <c r="A981" s="542"/>
      <c r="B981" s="543"/>
      <c r="C981" s="543"/>
      <c r="D981" s="544"/>
      <c r="E981" s="544"/>
      <c r="F981" s="544"/>
      <c r="G981" s="544"/>
      <c r="H981" s="544"/>
      <c r="I981" s="543"/>
      <c r="J981" s="543"/>
      <c r="K981" s="544"/>
      <c r="L981" s="543"/>
      <c r="M981" s="544"/>
      <c r="N981" s="543"/>
      <c r="O981" s="544"/>
      <c r="P981" s="544"/>
      <c r="Q981" s="544"/>
      <c r="R981" s="544"/>
      <c r="S981" s="544"/>
    </row>
    <row r="982" ht="14.25" customHeight="1">
      <c r="A982" s="542"/>
      <c r="B982" s="543"/>
      <c r="C982" s="543"/>
      <c r="D982" s="544"/>
      <c r="E982" s="544"/>
      <c r="F982" s="544"/>
      <c r="G982" s="544"/>
      <c r="H982" s="544"/>
      <c r="I982" s="543"/>
      <c r="J982" s="543"/>
      <c r="K982" s="544"/>
      <c r="L982" s="543"/>
      <c r="M982" s="544"/>
      <c r="N982" s="543"/>
      <c r="O982" s="544"/>
      <c r="P982" s="544"/>
      <c r="Q982" s="544"/>
      <c r="R982" s="544"/>
      <c r="S982" s="544"/>
    </row>
    <row r="983" ht="14.25" customHeight="1">
      <c r="A983" s="542"/>
      <c r="B983" s="543"/>
      <c r="C983" s="543"/>
      <c r="D983" s="544"/>
      <c r="E983" s="544"/>
      <c r="F983" s="544"/>
      <c r="G983" s="544"/>
      <c r="H983" s="544"/>
      <c r="I983" s="543"/>
      <c r="J983" s="543"/>
      <c r="K983" s="544"/>
      <c r="L983" s="543"/>
      <c r="M983" s="544"/>
      <c r="N983" s="543"/>
      <c r="O983" s="544"/>
      <c r="P983" s="544"/>
      <c r="Q983" s="544"/>
      <c r="R983" s="544"/>
      <c r="S983" s="544"/>
    </row>
    <row r="984" ht="14.25" customHeight="1">
      <c r="A984" s="542"/>
      <c r="B984" s="543"/>
      <c r="C984" s="543"/>
      <c r="D984" s="544"/>
      <c r="E984" s="544"/>
      <c r="F984" s="544"/>
      <c r="G984" s="544"/>
      <c r="H984" s="544"/>
      <c r="I984" s="543"/>
      <c r="J984" s="543"/>
      <c r="K984" s="544"/>
      <c r="L984" s="543"/>
      <c r="M984" s="544"/>
      <c r="N984" s="543"/>
      <c r="O984" s="544"/>
      <c r="P984" s="544"/>
      <c r="Q984" s="544"/>
      <c r="R984" s="544"/>
      <c r="S984" s="544"/>
    </row>
    <row r="985" ht="14.25" customHeight="1">
      <c r="A985" s="542"/>
      <c r="B985" s="543"/>
      <c r="C985" s="543"/>
      <c r="D985" s="544"/>
      <c r="E985" s="544"/>
      <c r="F985" s="544"/>
      <c r="G985" s="544"/>
      <c r="H985" s="544"/>
      <c r="I985" s="543"/>
      <c r="J985" s="543"/>
      <c r="K985" s="544"/>
      <c r="L985" s="543"/>
      <c r="M985" s="544"/>
      <c r="N985" s="543"/>
      <c r="O985" s="544"/>
      <c r="P985" s="544"/>
      <c r="Q985" s="544"/>
      <c r="R985" s="544"/>
      <c r="S985" s="544"/>
    </row>
    <row r="986" ht="14.25" customHeight="1">
      <c r="A986" s="542"/>
      <c r="B986" s="543"/>
      <c r="C986" s="543"/>
      <c r="D986" s="544"/>
      <c r="E986" s="544"/>
      <c r="F986" s="544"/>
      <c r="G986" s="544"/>
      <c r="H986" s="544"/>
      <c r="I986" s="543"/>
      <c r="J986" s="543"/>
      <c r="K986" s="544"/>
      <c r="L986" s="543"/>
      <c r="M986" s="544"/>
      <c r="N986" s="543"/>
      <c r="O986" s="544"/>
      <c r="P986" s="544"/>
      <c r="Q986" s="544"/>
      <c r="R986" s="544"/>
      <c r="S986" s="544"/>
    </row>
    <row r="987" ht="14.25" customHeight="1">
      <c r="A987" s="542"/>
      <c r="B987" s="543"/>
      <c r="C987" s="543"/>
      <c r="D987" s="544"/>
      <c r="E987" s="544"/>
      <c r="F987" s="544"/>
      <c r="G987" s="544"/>
      <c r="H987" s="544"/>
      <c r="I987" s="543"/>
      <c r="J987" s="543"/>
      <c r="K987" s="544"/>
      <c r="L987" s="543"/>
      <c r="M987" s="544"/>
      <c r="N987" s="543"/>
      <c r="O987" s="544"/>
      <c r="P987" s="544"/>
      <c r="Q987" s="544"/>
      <c r="R987" s="544"/>
      <c r="S987" s="544"/>
    </row>
    <row r="988" ht="14.25" customHeight="1">
      <c r="A988" s="542"/>
      <c r="B988" s="543"/>
      <c r="C988" s="543"/>
      <c r="D988" s="544"/>
      <c r="E988" s="544"/>
      <c r="F988" s="544"/>
      <c r="G988" s="544"/>
      <c r="H988" s="544"/>
      <c r="I988" s="543"/>
      <c r="J988" s="543"/>
      <c r="K988" s="544"/>
      <c r="L988" s="543"/>
      <c r="M988" s="544"/>
      <c r="N988" s="543"/>
      <c r="O988" s="544"/>
      <c r="P988" s="544"/>
      <c r="Q988" s="544"/>
      <c r="R988" s="544"/>
      <c r="S988" s="544"/>
    </row>
    <row r="989" ht="14.25" customHeight="1">
      <c r="A989" s="542"/>
      <c r="B989" s="543"/>
      <c r="C989" s="543"/>
      <c r="D989" s="544"/>
      <c r="E989" s="544"/>
      <c r="F989" s="544"/>
      <c r="G989" s="544"/>
      <c r="H989" s="544"/>
      <c r="I989" s="543"/>
      <c r="J989" s="543"/>
      <c r="K989" s="544"/>
      <c r="L989" s="543"/>
      <c r="M989" s="544"/>
      <c r="N989" s="543"/>
      <c r="O989" s="544"/>
      <c r="P989" s="544"/>
      <c r="Q989" s="544"/>
      <c r="R989" s="544"/>
      <c r="S989" s="544"/>
    </row>
    <row r="990" ht="14.25" customHeight="1">
      <c r="A990" s="542"/>
      <c r="B990" s="543"/>
      <c r="C990" s="543"/>
      <c r="D990" s="544"/>
      <c r="E990" s="544"/>
      <c r="F990" s="544"/>
      <c r="G990" s="544"/>
      <c r="H990" s="544"/>
      <c r="I990" s="543"/>
      <c r="J990" s="543"/>
      <c r="K990" s="544"/>
      <c r="L990" s="543"/>
      <c r="M990" s="544"/>
      <c r="N990" s="543"/>
      <c r="O990" s="544"/>
      <c r="P990" s="544"/>
      <c r="Q990" s="544"/>
      <c r="R990" s="544"/>
      <c r="S990" s="544"/>
    </row>
    <row r="991" ht="14.25" customHeight="1">
      <c r="A991" s="542"/>
      <c r="B991" s="543"/>
      <c r="C991" s="543"/>
      <c r="D991" s="544"/>
      <c r="E991" s="544"/>
      <c r="F991" s="544"/>
      <c r="G991" s="544"/>
      <c r="H991" s="544"/>
      <c r="I991" s="543"/>
      <c r="J991" s="543"/>
      <c r="K991" s="544"/>
      <c r="L991" s="543"/>
      <c r="M991" s="544"/>
      <c r="N991" s="543"/>
      <c r="O991" s="544"/>
      <c r="P991" s="544"/>
      <c r="Q991" s="544"/>
      <c r="R991" s="544"/>
      <c r="S991" s="544"/>
    </row>
    <row r="992" ht="14.25" customHeight="1">
      <c r="A992" s="542"/>
      <c r="B992" s="543"/>
      <c r="C992" s="543"/>
      <c r="D992" s="544"/>
      <c r="E992" s="544"/>
      <c r="F992" s="544"/>
      <c r="G992" s="544"/>
      <c r="H992" s="544"/>
      <c r="I992" s="543"/>
      <c r="J992" s="543"/>
      <c r="K992" s="544"/>
      <c r="L992" s="543"/>
      <c r="M992" s="544"/>
      <c r="N992" s="543"/>
      <c r="O992" s="544"/>
      <c r="P992" s="544"/>
      <c r="Q992" s="544"/>
      <c r="R992" s="544"/>
      <c r="S992" s="544"/>
    </row>
    <row r="993" ht="14.25" customHeight="1">
      <c r="A993" s="542"/>
      <c r="B993" s="543"/>
      <c r="C993" s="543"/>
      <c r="D993" s="544"/>
      <c r="E993" s="544"/>
      <c r="F993" s="544"/>
      <c r="G993" s="544"/>
      <c r="H993" s="544"/>
      <c r="I993" s="543"/>
      <c r="J993" s="543"/>
      <c r="K993" s="544"/>
      <c r="L993" s="543"/>
      <c r="M993" s="544"/>
      <c r="N993" s="543"/>
      <c r="O993" s="544"/>
      <c r="P993" s="544"/>
      <c r="Q993" s="544"/>
      <c r="R993" s="544"/>
      <c r="S993" s="544"/>
    </row>
    <row r="994" ht="14.25" customHeight="1">
      <c r="A994" s="542"/>
      <c r="B994" s="543"/>
      <c r="C994" s="543"/>
      <c r="D994" s="544"/>
      <c r="E994" s="544"/>
      <c r="F994" s="544"/>
      <c r="G994" s="544"/>
      <c r="H994" s="544"/>
      <c r="I994" s="543"/>
      <c r="J994" s="543"/>
      <c r="K994" s="544"/>
      <c r="L994" s="543"/>
      <c r="M994" s="544"/>
      <c r="N994" s="543"/>
      <c r="O994" s="544"/>
      <c r="P994" s="544"/>
      <c r="Q994" s="544"/>
      <c r="R994" s="544"/>
      <c r="S994" s="544"/>
    </row>
    <row r="995" ht="14.25" customHeight="1">
      <c r="A995" s="542"/>
      <c r="B995" s="543"/>
      <c r="C995" s="543"/>
      <c r="D995" s="544"/>
      <c r="E995" s="544"/>
      <c r="F995" s="544"/>
      <c r="G995" s="544"/>
      <c r="H995" s="544"/>
      <c r="I995" s="543"/>
      <c r="J995" s="543"/>
      <c r="K995" s="544"/>
      <c r="L995" s="543"/>
      <c r="M995" s="544"/>
      <c r="N995" s="543"/>
      <c r="O995" s="544"/>
      <c r="P995" s="544"/>
      <c r="Q995" s="544"/>
      <c r="R995" s="544"/>
      <c r="S995" s="544"/>
    </row>
    <row r="996" ht="14.25" customHeight="1">
      <c r="A996" s="542"/>
      <c r="B996" s="543"/>
      <c r="C996" s="543"/>
      <c r="D996" s="544"/>
      <c r="E996" s="544"/>
      <c r="F996" s="544"/>
      <c r="G996" s="544"/>
      <c r="H996" s="544"/>
      <c r="I996" s="543"/>
      <c r="J996" s="543"/>
      <c r="K996" s="544"/>
      <c r="L996" s="543"/>
      <c r="M996" s="544"/>
      <c r="N996" s="543"/>
      <c r="O996" s="544"/>
      <c r="P996" s="544"/>
      <c r="Q996" s="544"/>
      <c r="R996" s="544"/>
      <c r="S996" s="544"/>
    </row>
    <row r="997" ht="14.25" customHeight="1">
      <c r="A997" s="542"/>
      <c r="B997" s="543"/>
      <c r="C997" s="543"/>
      <c r="D997" s="544"/>
      <c r="E997" s="544"/>
      <c r="F997" s="544"/>
      <c r="G997" s="544"/>
      <c r="H997" s="544"/>
      <c r="I997" s="543"/>
      <c r="J997" s="543"/>
      <c r="K997" s="544"/>
      <c r="L997" s="543"/>
      <c r="M997" s="544"/>
      <c r="N997" s="543"/>
      <c r="O997" s="544"/>
      <c r="P997" s="544"/>
      <c r="Q997" s="544"/>
      <c r="R997" s="544"/>
      <c r="S997" s="544"/>
    </row>
    <row r="998" ht="14.25" customHeight="1">
      <c r="A998" s="542"/>
      <c r="B998" s="543"/>
      <c r="C998" s="543"/>
      <c r="D998" s="544"/>
      <c r="E998" s="544"/>
      <c r="F998" s="544"/>
      <c r="G998" s="544"/>
      <c r="H998" s="544"/>
      <c r="I998" s="543"/>
      <c r="J998" s="543"/>
      <c r="K998" s="544"/>
      <c r="L998" s="543"/>
      <c r="M998" s="544"/>
      <c r="N998" s="543"/>
      <c r="O998" s="544"/>
      <c r="P998" s="544"/>
      <c r="Q998" s="544"/>
      <c r="R998" s="544"/>
      <c r="S998" s="544"/>
    </row>
    <row r="999" ht="14.25" customHeight="1">
      <c r="A999" s="542"/>
      <c r="B999" s="543"/>
      <c r="C999" s="543"/>
      <c r="D999" s="544"/>
      <c r="E999" s="544"/>
      <c r="F999" s="544"/>
      <c r="G999" s="544"/>
      <c r="H999" s="544"/>
      <c r="I999" s="543"/>
      <c r="J999" s="543"/>
      <c r="K999" s="544"/>
      <c r="L999" s="543"/>
      <c r="M999" s="544"/>
      <c r="N999" s="543"/>
      <c r="O999" s="544"/>
      <c r="P999" s="544"/>
      <c r="Q999" s="544"/>
      <c r="R999" s="544"/>
      <c r="S999" s="544"/>
    </row>
    <row r="1000" ht="14.25" customHeight="1">
      <c r="A1000" s="542"/>
      <c r="B1000" s="543"/>
      <c r="C1000" s="543"/>
      <c r="D1000" s="544"/>
      <c r="E1000" s="544"/>
      <c r="F1000" s="544"/>
      <c r="G1000" s="544"/>
      <c r="H1000" s="544"/>
      <c r="I1000" s="543"/>
      <c r="J1000" s="543"/>
      <c r="K1000" s="544"/>
      <c r="L1000" s="543"/>
      <c r="M1000" s="544"/>
      <c r="N1000" s="543"/>
      <c r="O1000" s="544"/>
      <c r="P1000" s="544"/>
      <c r="Q1000" s="544"/>
      <c r="R1000" s="544"/>
      <c r="S1000" s="544"/>
    </row>
    <row r="1001" ht="14.25" customHeight="1">
      <c r="A1001" s="542"/>
      <c r="B1001" s="543"/>
      <c r="C1001" s="543"/>
      <c r="D1001" s="544"/>
      <c r="E1001" s="544"/>
      <c r="F1001" s="544"/>
      <c r="G1001" s="544"/>
      <c r="H1001" s="544"/>
      <c r="I1001" s="543"/>
      <c r="J1001" s="543"/>
      <c r="K1001" s="544"/>
      <c r="L1001" s="543"/>
      <c r="M1001" s="544"/>
      <c r="N1001" s="543"/>
      <c r="O1001" s="544"/>
      <c r="P1001" s="544"/>
      <c r="Q1001" s="544"/>
      <c r="R1001" s="544"/>
      <c r="S1001" s="544"/>
    </row>
    <row r="1002" ht="14.25" customHeight="1">
      <c r="A1002" s="542"/>
      <c r="B1002" s="543"/>
      <c r="C1002" s="543"/>
      <c r="D1002" s="544"/>
      <c r="E1002" s="544"/>
      <c r="F1002" s="544"/>
      <c r="G1002" s="544"/>
      <c r="H1002" s="544"/>
      <c r="I1002" s="543"/>
      <c r="J1002" s="543"/>
      <c r="K1002" s="544"/>
      <c r="L1002" s="543"/>
      <c r="M1002" s="544"/>
      <c r="N1002" s="543"/>
      <c r="O1002" s="544"/>
      <c r="P1002" s="544"/>
      <c r="Q1002" s="544"/>
      <c r="R1002" s="544"/>
      <c r="S1002" s="544"/>
    </row>
    <row r="1003" ht="14.25" customHeight="1">
      <c r="A1003" s="542"/>
      <c r="B1003" s="543"/>
      <c r="C1003" s="543"/>
      <c r="D1003" s="544"/>
      <c r="E1003" s="544"/>
      <c r="F1003" s="544"/>
      <c r="G1003" s="544"/>
      <c r="H1003" s="544"/>
      <c r="I1003" s="543"/>
      <c r="J1003" s="543"/>
      <c r="K1003" s="544"/>
      <c r="L1003" s="543"/>
      <c r="M1003" s="544"/>
      <c r="N1003" s="543"/>
      <c r="O1003" s="544"/>
      <c r="P1003" s="544"/>
      <c r="Q1003" s="544"/>
      <c r="R1003" s="544"/>
      <c r="S1003" s="544"/>
    </row>
    <row r="1004" ht="14.25" customHeight="1">
      <c r="A1004" s="542"/>
      <c r="B1004" s="543"/>
      <c r="C1004" s="543"/>
      <c r="D1004" s="544"/>
      <c r="E1004" s="544"/>
      <c r="F1004" s="544"/>
      <c r="G1004" s="544"/>
      <c r="H1004" s="544"/>
      <c r="I1004" s="543"/>
      <c r="J1004" s="543"/>
      <c r="K1004" s="544"/>
      <c r="L1004" s="543"/>
      <c r="M1004" s="544"/>
      <c r="N1004" s="543"/>
      <c r="O1004" s="544"/>
      <c r="P1004" s="544"/>
      <c r="Q1004" s="544"/>
      <c r="R1004" s="544"/>
      <c r="S1004" s="544"/>
    </row>
    <row r="1005" ht="14.25" customHeight="1">
      <c r="A1005" s="542"/>
      <c r="B1005" s="543"/>
      <c r="C1005" s="543"/>
      <c r="D1005" s="544"/>
      <c r="E1005" s="544"/>
      <c r="F1005" s="544"/>
      <c r="G1005" s="544"/>
      <c r="H1005" s="544"/>
      <c r="I1005" s="543"/>
      <c r="J1005" s="543"/>
      <c r="K1005" s="544"/>
      <c r="L1005" s="543"/>
      <c r="M1005" s="544"/>
      <c r="N1005" s="543"/>
      <c r="O1005" s="544"/>
      <c r="P1005" s="544"/>
      <c r="Q1005" s="544"/>
      <c r="R1005" s="544"/>
      <c r="S1005" s="544"/>
    </row>
    <row r="1006" ht="14.25" customHeight="1">
      <c r="A1006" s="542"/>
      <c r="B1006" s="543"/>
      <c r="C1006" s="543"/>
      <c r="D1006" s="544"/>
      <c r="E1006" s="544"/>
      <c r="F1006" s="544"/>
      <c r="G1006" s="544"/>
      <c r="H1006" s="544"/>
      <c r="I1006" s="543"/>
      <c r="J1006" s="543"/>
      <c r="K1006" s="544"/>
      <c r="L1006" s="543"/>
      <c r="M1006" s="544"/>
      <c r="N1006" s="543"/>
      <c r="O1006" s="544"/>
      <c r="P1006" s="544"/>
      <c r="Q1006" s="544"/>
      <c r="R1006" s="544"/>
      <c r="S1006" s="544"/>
    </row>
    <row r="1007" ht="14.25" customHeight="1">
      <c r="A1007" s="542"/>
      <c r="B1007" s="543"/>
      <c r="C1007" s="543"/>
      <c r="D1007" s="544"/>
      <c r="E1007" s="544"/>
      <c r="F1007" s="544"/>
      <c r="G1007" s="544"/>
      <c r="H1007" s="544"/>
      <c r="I1007" s="543"/>
      <c r="J1007" s="543"/>
      <c r="K1007" s="544"/>
      <c r="L1007" s="543"/>
      <c r="M1007" s="544"/>
      <c r="N1007" s="543"/>
      <c r="O1007" s="544"/>
      <c r="P1007" s="544"/>
      <c r="Q1007" s="544"/>
      <c r="R1007" s="544"/>
      <c r="S1007" s="544"/>
    </row>
    <row r="1008" ht="14.25" customHeight="1">
      <c r="A1008" s="542"/>
      <c r="B1008" s="543"/>
      <c r="C1008" s="543"/>
      <c r="D1008" s="544"/>
      <c r="E1008" s="544"/>
      <c r="F1008" s="544"/>
      <c r="G1008" s="544"/>
      <c r="H1008" s="544"/>
      <c r="I1008" s="543"/>
      <c r="J1008" s="543"/>
      <c r="K1008" s="544"/>
      <c r="L1008" s="543"/>
      <c r="M1008" s="544"/>
      <c r="N1008" s="543"/>
      <c r="O1008" s="544"/>
      <c r="P1008" s="544"/>
      <c r="Q1008" s="544"/>
      <c r="R1008" s="544"/>
      <c r="S1008" s="544"/>
    </row>
    <row r="1009" ht="14.25" customHeight="1">
      <c r="A1009" s="542"/>
      <c r="B1009" s="543"/>
      <c r="C1009" s="543"/>
      <c r="D1009" s="544"/>
      <c r="E1009" s="544"/>
      <c r="F1009" s="544"/>
      <c r="G1009" s="544"/>
      <c r="H1009" s="544"/>
      <c r="I1009" s="543"/>
      <c r="J1009" s="543"/>
      <c r="K1009" s="544"/>
      <c r="L1009" s="543"/>
      <c r="M1009" s="544"/>
      <c r="N1009" s="543"/>
      <c r="O1009" s="544"/>
      <c r="P1009" s="544"/>
      <c r="Q1009" s="544"/>
      <c r="R1009" s="544"/>
      <c r="S1009" s="544"/>
    </row>
    <row r="1010" ht="14.25" customHeight="1">
      <c r="A1010" s="542"/>
      <c r="B1010" s="543"/>
      <c r="C1010" s="543"/>
      <c r="D1010" s="544"/>
      <c r="E1010" s="544"/>
      <c r="F1010" s="544"/>
      <c r="G1010" s="544"/>
      <c r="H1010" s="544"/>
      <c r="I1010" s="543"/>
      <c r="J1010" s="543"/>
      <c r="K1010" s="544"/>
      <c r="L1010" s="543"/>
      <c r="M1010" s="544"/>
      <c r="N1010" s="543"/>
      <c r="O1010" s="544"/>
      <c r="P1010" s="544"/>
      <c r="Q1010" s="544"/>
      <c r="R1010" s="544"/>
      <c r="S1010" s="544"/>
    </row>
    <row r="1011" ht="14.25" customHeight="1">
      <c r="A1011" s="542"/>
      <c r="B1011" s="543"/>
      <c r="C1011" s="543"/>
      <c r="D1011" s="544"/>
      <c r="E1011" s="544"/>
      <c r="F1011" s="544"/>
      <c r="G1011" s="544"/>
      <c r="H1011" s="544"/>
      <c r="I1011" s="543"/>
      <c r="J1011" s="543"/>
      <c r="K1011" s="544"/>
      <c r="L1011" s="543"/>
      <c r="M1011" s="544"/>
      <c r="N1011" s="543"/>
      <c r="O1011" s="544"/>
      <c r="P1011" s="544"/>
      <c r="Q1011" s="544"/>
      <c r="R1011" s="544"/>
      <c r="S1011" s="544"/>
    </row>
    <row r="1012" ht="14.25" customHeight="1">
      <c r="A1012" s="542"/>
      <c r="B1012" s="543"/>
      <c r="C1012" s="543"/>
      <c r="D1012" s="544"/>
      <c r="E1012" s="544"/>
      <c r="F1012" s="544"/>
      <c r="G1012" s="544"/>
      <c r="H1012" s="544"/>
      <c r="I1012" s="543"/>
      <c r="J1012" s="543"/>
      <c r="K1012" s="544"/>
      <c r="L1012" s="543"/>
      <c r="M1012" s="544"/>
      <c r="N1012" s="543"/>
      <c r="O1012" s="544"/>
      <c r="P1012" s="544"/>
      <c r="Q1012" s="544"/>
      <c r="R1012" s="544"/>
      <c r="S1012" s="544"/>
    </row>
    <row r="1013" ht="14.25" customHeight="1">
      <c r="A1013" s="542"/>
      <c r="B1013" s="543"/>
      <c r="C1013" s="543"/>
      <c r="D1013" s="544"/>
      <c r="E1013" s="544"/>
      <c r="F1013" s="544"/>
      <c r="G1013" s="544"/>
      <c r="H1013" s="544"/>
      <c r="I1013" s="543"/>
      <c r="J1013" s="543"/>
      <c r="K1013" s="544"/>
      <c r="L1013" s="543"/>
      <c r="M1013" s="544"/>
      <c r="N1013" s="543"/>
      <c r="O1013" s="544"/>
      <c r="P1013" s="544"/>
      <c r="Q1013" s="544"/>
      <c r="R1013" s="544"/>
      <c r="S1013" s="544"/>
    </row>
    <row r="1014" ht="14.25" customHeight="1">
      <c r="A1014" s="542"/>
      <c r="B1014" s="543"/>
      <c r="C1014" s="543"/>
      <c r="D1014" s="544"/>
      <c r="E1014" s="544"/>
      <c r="F1014" s="544"/>
      <c r="G1014" s="544"/>
      <c r="H1014" s="544"/>
      <c r="I1014" s="543"/>
      <c r="J1014" s="543"/>
      <c r="K1014" s="544"/>
      <c r="L1014" s="543"/>
      <c r="M1014" s="544"/>
      <c r="N1014" s="543"/>
      <c r="O1014" s="544"/>
      <c r="P1014" s="544"/>
      <c r="Q1014" s="544"/>
      <c r="R1014" s="544"/>
      <c r="S1014" s="544"/>
    </row>
    <row r="1015" ht="14.25" customHeight="1">
      <c r="A1015" s="542"/>
      <c r="B1015" s="543"/>
      <c r="C1015" s="543"/>
      <c r="D1015" s="544"/>
      <c r="E1015" s="544"/>
      <c r="F1015" s="544"/>
      <c r="G1015" s="544"/>
      <c r="H1015" s="544"/>
      <c r="I1015" s="543"/>
      <c r="J1015" s="543"/>
      <c r="K1015" s="544"/>
      <c r="L1015" s="543"/>
      <c r="M1015" s="544"/>
      <c r="N1015" s="543"/>
      <c r="O1015" s="544"/>
      <c r="P1015" s="544"/>
      <c r="Q1015" s="544"/>
      <c r="R1015" s="544"/>
      <c r="S1015" s="544"/>
    </row>
    <row r="1016" ht="14.25" customHeight="1">
      <c r="A1016" s="542"/>
      <c r="B1016" s="543"/>
      <c r="C1016" s="543"/>
      <c r="D1016" s="544"/>
      <c r="E1016" s="544"/>
      <c r="F1016" s="544"/>
      <c r="G1016" s="544"/>
      <c r="H1016" s="544"/>
      <c r="I1016" s="543"/>
      <c r="J1016" s="543"/>
      <c r="K1016" s="544"/>
      <c r="L1016" s="543"/>
      <c r="M1016" s="544"/>
      <c r="N1016" s="543"/>
      <c r="O1016" s="544"/>
      <c r="P1016" s="544"/>
      <c r="Q1016" s="544"/>
      <c r="R1016" s="544"/>
      <c r="S1016" s="544"/>
    </row>
    <row r="1017" ht="14.25" customHeight="1">
      <c r="A1017" s="542"/>
      <c r="B1017" s="543"/>
      <c r="C1017" s="543"/>
      <c r="D1017" s="544"/>
      <c r="E1017" s="544"/>
      <c r="F1017" s="544"/>
      <c r="G1017" s="544"/>
      <c r="H1017" s="544"/>
      <c r="I1017" s="543"/>
      <c r="J1017" s="543"/>
      <c r="K1017" s="544"/>
      <c r="L1017" s="543"/>
      <c r="M1017" s="544"/>
      <c r="N1017" s="543"/>
      <c r="O1017" s="544"/>
      <c r="P1017" s="544"/>
      <c r="Q1017" s="544"/>
      <c r="R1017" s="544"/>
      <c r="S1017" s="544"/>
    </row>
    <row r="1018" ht="14.25" customHeight="1">
      <c r="A1018" s="542"/>
      <c r="B1018" s="543"/>
      <c r="C1018" s="543"/>
      <c r="D1018" s="544"/>
      <c r="E1018" s="544"/>
      <c r="F1018" s="544"/>
      <c r="G1018" s="544"/>
      <c r="H1018" s="544"/>
      <c r="I1018" s="543"/>
      <c r="J1018" s="543"/>
      <c r="K1018" s="544"/>
      <c r="L1018" s="543"/>
      <c r="M1018" s="544"/>
      <c r="N1018" s="543"/>
      <c r="O1018" s="544"/>
      <c r="P1018" s="544"/>
      <c r="Q1018" s="544"/>
      <c r="R1018" s="544"/>
      <c r="S1018" s="544"/>
    </row>
    <row r="1019" ht="14.25" customHeight="1">
      <c r="A1019" s="542"/>
      <c r="B1019" s="543"/>
      <c r="C1019" s="543"/>
      <c r="D1019" s="544"/>
      <c r="E1019" s="544"/>
      <c r="F1019" s="544"/>
      <c r="G1019" s="544"/>
      <c r="H1019" s="544"/>
      <c r="I1019" s="543"/>
      <c r="J1019" s="543"/>
      <c r="K1019" s="544"/>
      <c r="L1019" s="543"/>
      <c r="M1019" s="544"/>
      <c r="N1019" s="543"/>
      <c r="O1019" s="544"/>
      <c r="P1019" s="544"/>
      <c r="Q1019" s="544"/>
      <c r="R1019" s="544"/>
      <c r="S1019" s="544"/>
    </row>
    <row r="1020" ht="14.25" customHeight="1">
      <c r="A1020" s="542"/>
      <c r="B1020" s="543"/>
      <c r="C1020" s="543"/>
      <c r="D1020" s="544"/>
      <c r="E1020" s="544"/>
      <c r="F1020" s="544"/>
      <c r="G1020" s="544"/>
      <c r="H1020" s="544"/>
      <c r="I1020" s="543"/>
      <c r="J1020" s="543"/>
      <c r="K1020" s="544"/>
      <c r="L1020" s="543"/>
      <c r="M1020" s="544"/>
      <c r="N1020" s="543"/>
      <c r="O1020" s="544"/>
      <c r="P1020" s="544"/>
      <c r="Q1020" s="544"/>
      <c r="R1020" s="544"/>
      <c r="S1020" s="544"/>
    </row>
    <row r="1021" ht="14.25" customHeight="1">
      <c r="A1021" s="542"/>
      <c r="B1021" s="543"/>
      <c r="C1021" s="543"/>
      <c r="D1021" s="544"/>
      <c r="E1021" s="544"/>
      <c r="F1021" s="544"/>
      <c r="G1021" s="544"/>
      <c r="H1021" s="544"/>
      <c r="I1021" s="543"/>
      <c r="J1021" s="543"/>
      <c r="K1021" s="544"/>
      <c r="L1021" s="543"/>
      <c r="M1021" s="544"/>
      <c r="N1021" s="543"/>
      <c r="O1021" s="544"/>
      <c r="P1021" s="544"/>
      <c r="Q1021" s="544"/>
      <c r="R1021" s="544"/>
      <c r="S1021" s="544"/>
    </row>
    <row r="1022" ht="14.25" customHeight="1">
      <c r="A1022" s="542"/>
      <c r="B1022" s="543"/>
      <c r="C1022" s="543"/>
      <c r="D1022" s="544"/>
      <c r="E1022" s="544"/>
      <c r="F1022" s="544"/>
      <c r="G1022" s="544"/>
      <c r="H1022" s="544"/>
      <c r="I1022" s="543"/>
      <c r="J1022" s="543"/>
      <c r="K1022" s="544"/>
      <c r="L1022" s="543"/>
      <c r="M1022" s="544"/>
      <c r="N1022" s="543"/>
      <c r="O1022" s="544"/>
      <c r="P1022" s="544"/>
      <c r="Q1022" s="544"/>
      <c r="R1022" s="544"/>
      <c r="S1022" s="544"/>
    </row>
    <row r="1023" ht="14.25" customHeight="1">
      <c r="A1023" s="542"/>
      <c r="B1023" s="543"/>
      <c r="C1023" s="543"/>
      <c r="D1023" s="544"/>
      <c r="E1023" s="544"/>
      <c r="F1023" s="544"/>
      <c r="G1023" s="544"/>
      <c r="H1023" s="544"/>
      <c r="I1023" s="543"/>
      <c r="J1023" s="543"/>
      <c r="K1023" s="544"/>
      <c r="L1023" s="543"/>
      <c r="M1023" s="544"/>
      <c r="N1023" s="543"/>
      <c r="O1023" s="544"/>
      <c r="P1023" s="544"/>
      <c r="Q1023" s="544"/>
      <c r="R1023" s="544"/>
      <c r="S1023" s="544"/>
    </row>
    <row r="1024" ht="14.25" customHeight="1">
      <c r="A1024" s="542"/>
      <c r="B1024" s="543"/>
      <c r="C1024" s="543"/>
      <c r="D1024" s="544"/>
      <c r="E1024" s="544"/>
      <c r="F1024" s="544"/>
      <c r="G1024" s="544"/>
      <c r="H1024" s="544"/>
      <c r="I1024" s="543"/>
      <c r="J1024" s="543"/>
      <c r="K1024" s="544"/>
      <c r="L1024" s="543"/>
      <c r="M1024" s="544"/>
      <c r="N1024" s="543"/>
      <c r="O1024" s="544"/>
      <c r="P1024" s="544"/>
      <c r="Q1024" s="544"/>
      <c r="R1024" s="544"/>
      <c r="S1024" s="544"/>
    </row>
    <row r="1025" ht="14.25" customHeight="1">
      <c r="A1025" s="542"/>
      <c r="B1025" s="543"/>
      <c r="C1025" s="543"/>
      <c r="D1025" s="544"/>
      <c r="E1025" s="544"/>
      <c r="F1025" s="544"/>
      <c r="G1025" s="544"/>
      <c r="H1025" s="544"/>
      <c r="I1025" s="543"/>
      <c r="J1025" s="543"/>
      <c r="K1025" s="544"/>
      <c r="L1025" s="543"/>
      <c r="M1025" s="544"/>
      <c r="N1025" s="543"/>
      <c r="O1025" s="544"/>
      <c r="P1025" s="544"/>
      <c r="Q1025" s="544"/>
      <c r="R1025" s="544"/>
      <c r="S1025" s="544"/>
    </row>
    <row r="1026" ht="14.25" customHeight="1">
      <c r="A1026" s="542"/>
      <c r="B1026" s="543"/>
      <c r="C1026" s="543"/>
      <c r="D1026" s="544"/>
      <c r="E1026" s="544"/>
      <c r="F1026" s="544"/>
      <c r="G1026" s="544"/>
      <c r="H1026" s="544"/>
      <c r="I1026" s="543"/>
      <c r="J1026" s="543"/>
      <c r="K1026" s="544"/>
      <c r="L1026" s="543"/>
      <c r="M1026" s="544"/>
      <c r="N1026" s="543"/>
      <c r="O1026" s="544"/>
      <c r="P1026" s="544"/>
      <c r="Q1026" s="544"/>
      <c r="R1026" s="544"/>
      <c r="S1026" s="544"/>
    </row>
    <row r="1027" ht="14.25" customHeight="1">
      <c r="A1027" s="542"/>
      <c r="B1027" s="543"/>
      <c r="C1027" s="543"/>
      <c r="D1027" s="544"/>
      <c r="E1027" s="544"/>
      <c r="F1027" s="544"/>
      <c r="G1027" s="544"/>
      <c r="H1027" s="544"/>
      <c r="I1027" s="543"/>
      <c r="J1027" s="543"/>
      <c r="K1027" s="544"/>
      <c r="L1027" s="543"/>
      <c r="M1027" s="544"/>
      <c r="N1027" s="543"/>
      <c r="O1027" s="544"/>
      <c r="P1027" s="544"/>
      <c r="Q1027" s="544"/>
      <c r="R1027" s="544"/>
      <c r="S1027" s="544"/>
    </row>
    <row r="1028" ht="14.25" customHeight="1">
      <c r="A1028" s="542"/>
      <c r="B1028" s="543"/>
      <c r="C1028" s="543"/>
      <c r="D1028" s="544"/>
      <c r="E1028" s="544"/>
      <c r="F1028" s="544"/>
      <c r="G1028" s="544"/>
      <c r="H1028" s="544"/>
      <c r="I1028" s="543"/>
      <c r="J1028" s="543"/>
      <c r="K1028" s="544"/>
      <c r="L1028" s="543"/>
      <c r="M1028" s="544"/>
      <c r="N1028" s="543"/>
      <c r="O1028" s="544"/>
      <c r="P1028" s="544"/>
      <c r="Q1028" s="544"/>
      <c r="R1028" s="544"/>
      <c r="S1028" s="544"/>
    </row>
    <row r="1029" ht="14.25" customHeight="1">
      <c r="A1029" s="542"/>
      <c r="B1029" s="543"/>
      <c r="C1029" s="543"/>
      <c r="D1029" s="544"/>
      <c r="E1029" s="544"/>
      <c r="F1029" s="544"/>
      <c r="G1029" s="544"/>
      <c r="H1029" s="544"/>
      <c r="I1029" s="543"/>
      <c r="J1029" s="543"/>
      <c r="K1029" s="544"/>
      <c r="L1029" s="543"/>
      <c r="M1029" s="544"/>
      <c r="N1029" s="543"/>
      <c r="O1029" s="544"/>
      <c r="P1029" s="544"/>
      <c r="Q1029" s="544"/>
      <c r="R1029" s="544"/>
      <c r="S1029" s="544"/>
    </row>
    <row r="1030" ht="14.25" customHeight="1">
      <c r="A1030" s="542"/>
      <c r="B1030" s="543"/>
      <c r="C1030" s="543"/>
      <c r="D1030" s="544"/>
      <c r="E1030" s="544"/>
      <c r="F1030" s="544"/>
      <c r="G1030" s="544"/>
      <c r="H1030" s="544"/>
      <c r="I1030" s="543"/>
      <c r="J1030" s="543"/>
      <c r="K1030" s="544"/>
      <c r="L1030" s="543"/>
      <c r="M1030" s="544"/>
      <c r="N1030" s="543"/>
      <c r="O1030" s="544"/>
      <c r="P1030" s="544"/>
      <c r="Q1030" s="544"/>
      <c r="R1030" s="544"/>
      <c r="S1030" s="544"/>
    </row>
    <row r="1031" ht="14.25" customHeight="1">
      <c r="A1031" s="542"/>
      <c r="B1031" s="543"/>
      <c r="C1031" s="543"/>
      <c r="D1031" s="544"/>
      <c r="E1031" s="544"/>
      <c r="F1031" s="544"/>
      <c r="G1031" s="544"/>
      <c r="H1031" s="544"/>
      <c r="I1031" s="543"/>
      <c r="J1031" s="543"/>
      <c r="K1031" s="544"/>
      <c r="L1031" s="543"/>
      <c r="M1031" s="544"/>
      <c r="N1031" s="543"/>
      <c r="O1031" s="544"/>
      <c r="P1031" s="544"/>
      <c r="Q1031" s="544"/>
      <c r="R1031" s="544"/>
      <c r="S1031" s="544"/>
    </row>
    <row r="1032" ht="14.25" customHeight="1">
      <c r="A1032" s="542"/>
      <c r="B1032" s="543"/>
      <c r="C1032" s="543"/>
      <c r="D1032" s="544"/>
      <c r="E1032" s="544"/>
      <c r="F1032" s="544"/>
      <c r="G1032" s="544"/>
      <c r="H1032" s="544"/>
      <c r="I1032" s="543"/>
      <c r="J1032" s="543"/>
      <c r="K1032" s="544"/>
      <c r="L1032" s="543"/>
      <c r="M1032" s="544"/>
      <c r="N1032" s="543"/>
      <c r="O1032" s="544"/>
      <c r="P1032" s="544"/>
      <c r="Q1032" s="544"/>
      <c r="R1032" s="544"/>
      <c r="S1032" s="544"/>
    </row>
    <row r="1033" ht="14.25" customHeight="1">
      <c r="A1033" s="542"/>
      <c r="B1033" s="543"/>
      <c r="C1033" s="543"/>
      <c r="D1033" s="544"/>
      <c r="E1033" s="544"/>
      <c r="F1033" s="544"/>
      <c r="G1033" s="544"/>
      <c r="H1033" s="544"/>
      <c r="I1033" s="543"/>
      <c r="J1033" s="543"/>
      <c r="K1033" s="544"/>
      <c r="L1033" s="543"/>
      <c r="M1033" s="544"/>
      <c r="N1033" s="543"/>
      <c r="O1033" s="544"/>
      <c r="P1033" s="544"/>
      <c r="Q1033" s="544"/>
      <c r="R1033" s="544"/>
      <c r="S1033" s="544"/>
    </row>
    <row r="1034" ht="14.25" customHeight="1">
      <c r="A1034" s="542"/>
      <c r="B1034" s="543"/>
      <c r="C1034" s="543"/>
      <c r="D1034" s="544"/>
      <c r="E1034" s="544"/>
      <c r="F1034" s="544"/>
      <c r="G1034" s="544"/>
      <c r="H1034" s="544"/>
      <c r="I1034" s="543"/>
      <c r="J1034" s="543"/>
      <c r="K1034" s="544"/>
      <c r="L1034" s="543"/>
      <c r="M1034" s="544"/>
      <c r="N1034" s="543"/>
      <c r="O1034" s="544"/>
      <c r="P1034" s="544"/>
      <c r="Q1034" s="544"/>
      <c r="R1034" s="544"/>
      <c r="S1034" s="544"/>
    </row>
    <row r="1035" ht="14.25" customHeight="1">
      <c r="A1035" s="542"/>
      <c r="B1035" s="543"/>
      <c r="C1035" s="543"/>
      <c r="D1035" s="544"/>
      <c r="E1035" s="544"/>
      <c r="F1035" s="544"/>
      <c r="G1035" s="544"/>
      <c r="H1035" s="544"/>
      <c r="I1035" s="543"/>
      <c r="J1035" s="543"/>
      <c r="K1035" s="544"/>
      <c r="L1035" s="543"/>
      <c r="M1035" s="544"/>
      <c r="N1035" s="543"/>
      <c r="O1035" s="544"/>
      <c r="P1035" s="544"/>
      <c r="Q1035" s="544"/>
      <c r="R1035" s="544"/>
      <c r="S1035" s="544"/>
    </row>
    <row r="1036" ht="14.25" customHeight="1">
      <c r="A1036" s="542"/>
      <c r="B1036" s="543"/>
      <c r="C1036" s="543"/>
      <c r="D1036" s="544"/>
      <c r="E1036" s="544"/>
      <c r="F1036" s="544"/>
      <c r="G1036" s="544"/>
      <c r="H1036" s="544"/>
      <c r="I1036" s="543"/>
      <c r="J1036" s="543"/>
      <c r="K1036" s="544"/>
      <c r="L1036" s="543"/>
      <c r="M1036" s="544"/>
      <c r="N1036" s="543"/>
      <c r="O1036" s="544"/>
      <c r="P1036" s="544"/>
      <c r="Q1036" s="544"/>
      <c r="R1036" s="544"/>
      <c r="S1036" s="544"/>
    </row>
    <row r="1037" ht="14.25" customHeight="1">
      <c r="A1037" s="542"/>
      <c r="B1037" s="543"/>
      <c r="C1037" s="543"/>
      <c r="D1037" s="544"/>
      <c r="E1037" s="544"/>
      <c r="F1037" s="544"/>
      <c r="G1037" s="544"/>
      <c r="H1037" s="544"/>
      <c r="I1037" s="543"/>
      <c r="J1037" s="543"/>
      <c r="K1037" s="544"/>
      <c r="L1037" s="543"/>
      <c r="M1037" s="544"/>
      <c r="N1037" s="543"/>
      <c r="O1037" s="544"/>
      <c r="P1037" s="544"/>
      <c r="Q1037" s="544"/>
      <c r="R1037" s="544"/>
      <c r="S1037" s="544"/>
    </row>
    <row r="1038" ht="14.25" customHeight="1">
      <c r="A1038" s="542"/>
      <c r="B1038" s="543"/>
      <c r="C1038" s="543"/>
      <c r="D1038" s="544"/>
      <c r="E1038" s="544"/>
      <c r="F1038" s="544"/>
      <c r="G1038" s="544"/>
      <c r="H1038" s="544"/>
      <c r="I1038" s="543"/>
      <c r="J1038" s="543"/>
      <c r="K1038" s="544"/>
      <c r="L1038" s="543"/>
      <c r="M1038" s="544"/>
      <c r="N1038" s="543"/>
      <c r="O1038" s="544"/>
      <c r="P1038" s="544"/>
      <c r="Q1038" s="544"/>
      <c r="R1038" s="544"/>
      <c r="S1038" s="544"/>
    </row>
    <row r="1039" ht="14.25" customHeight="1">
      <c r="A1039" s="542"/>
      <c r="B1039" s="543"/>
      <c r="C1039" s="543"/>
      <c r="D1039" s="544"/>
      <c r="E1039" s="544"/>
      <c r="F1039" s="544"/>
      <c r="G1039" s="544"/>
      <c r="H1039" s="544"/>
      <c r="I1039" s="543"/>
      <c r="J1039" s="543"/>
      <c r="K1039" s="544"/>
      <c r="L1039" s="543"/>
      <c r="M1039" s="544"/>
      <c r="N1039" s="543"/>
      <c r="O1039" s="544"/>
      <c r="P1039" s="544"/>
      <c r="Q1039" s="544"/>
      <c r="R1039" s="544"/>
      <c r="S1039" s="544"/>
    </row>
    <row r="1040" ht="14.25" customHeight="1">
      <c r="A1040" s="542"/>
      <c r="B1040" s="543"/>
      <c r="C1040" s="543"/>
      <c r="D1040" s="544"/>
      <c r="E1040" s="544"/>
      <c r="F1040" s="544"/>
      <c r="G1040" s="544"/>
      <c r="H1040" s="544"/>
      <c r="I1040" s="543"/>
      <c r="J1040" s="543"/>
      <c r="K1040" s="544"/>
      <c r="L1040" s="543"/>
      <c r="M1040" s="544"/>
      <c r="N1040" s="543"/>
      <c r="O1040" s="544"/>
      <c r="P1040" s="544"/>
      <c r="Q1040" s="544"/>
      <c r="R1040" s="544"/>
      <c r="S1040" s="544"/>
    </row>
    <row r="1041" ht="14.25" customHeight="1">
      <c r="A1041" s="542"/>
      <c r="B1041" s="543"/>
      <c r="C1041" s="543"/>
      <c r="D1041" s="544"/>
      <c r="E1041" s="544"/>
      <c r="F1041" s="544"/>
      <c r="G1041" s="544"/>
      <c r="H1041" s="544"/>
      <c r="I1041" s="543"/>
      <c r="J1041" s="543"/>
      <c r="K1041" s="544"/>
      <c r="L1041" s="543"/>
      <c r="M1041" s="544"/>
      <c r="N1041" s="543"/>
      <c r="O1041" s="544"/>
      <c r="P1041" s="544"/>
      <c r="Q1041" s="544"/>
      <c r="R1041" s="544"/>
      <c r="S1041" s="544"/>
    </row>
    <row r="1042" ht="14.25" customHeight="1">
      <c r="A1042" s="542"/>
      <c r="B1042" s="543"/>
      <c r="C1042" s="543"/>
      <c r="D1042" s="544"/>
      <c r="E1042" s="544"/>
      <c r="F1042" s="544"/>
      <c r="G1042" s="544"/>
      <c r="H1042" s="544"/>
      <c r="I1042" s="543"/>
      <c r="J1042" s="543"/>
      <c r="K1042" s="544"/>
      <c r="L1042" s="543"/>
      <c r="M1042" s="544"/>
      <c r="N1042" s="543"/>
      <c r="O1042" s="544"/>
      <c r="P1042" s="544"/>
      <c r="Q1042" s="544"/>
      <c r="R1042" s="544"/>
      <c r="S1042" s="544"/>
    </row>
    <row r="1043" ht="14.25" customHeight="1">
      <c r="A1043" s="542"/>
      <c r="B1043" s="543"/>
      <c r="C1043" s="543"/>
      <c r="D1043" s="544"/>
      <c r="E1043" s="544"/>
      <c r="F1043" s="544"/>
      <c r="G1043" s="544"/>
      <c r="H1043" s="544"/>
      <c r="I1043" s="543"/>
      <c r="J1043" s="543"/>
      <c r="K1043" s="544"/>
      <c r="L1043" s="543"/>
      <c r="M1043" s="544"/>
      <c r="N1043" s="543"/>
      <c r="O1043" s="544"/>
      <c r="P1043" s="544"/>
      <c r="Q1043" s="544"/>
      <c r="R1043" s="544"/>
      <c r="S1043" s="544"/>
    </row>
    <row r="1044" ht="14.25" customHeight="1">
      <c r="A1044" s="542"/>
      <c r="B1044" s="543"/>
      <c r="C1044" s="543"/>
      <c r="D1044" s="544"/>
      <c r="E1044" s="544"/>
      <c r="F1044" s="544"/>
      <c r="G1044" s="544"/>
      <c r="H1044" s="544"/>
      <c r="I1044" s="543"/>
      <c r="J1044" s="543"/>
      <c r="K1044" s="544"/>
      <c r="L1044" s="543"/>
      <c r="M1044" s="544"/>
      <c r="N1044" s="543"/>
      <c r="O1044" s="544"/>
      <c r="P1044" s="544"/>
      <c r="Q1044" s="544"/>
      <c r="R1044" s="544"/>
      <c r="S1044" s="544"/>
    </row>
    <row r="1045" ht="14.25" customHeight="1">
      <c r="A1045" s="542"/>
      <c r="B1045" s="543"/>
      <c r="C1045" s="543"/>
      <c r="D1045" s="544"/>
      <c r="E1045" s="544"/>
      <c r="F1045" s="544"/>
      <c r="G1045" s="544"/>
      <c r="H1045" s="544"/>
      <c r="I1045" s="543"/>
      <c r="J1045" s="543"/>
      <c r="K1045" s="544"/>
      <c r="L1045" s="543"/>
      <c r="M1045" s="544"/>
      <c r="N1045" s="543"/>
      <c r="O1045" s="544"/>
      <c r="P1045" s="544"/>
      <c r="Q1045" s="544"/>
      <c r="R1045" s="544"/>
      <c r="S1045" s="544"/>
    </row>
    <row r="1046" ht="14.25" customHeight="1">
      <c r="A1046" s="542"/>
      <c r="B1046" s="543"/>
      <c r="C1046" s="543"/>
      <c r="D1046" s="544"/>
      <c r="E1046" s="544"/>
      <c r="F1046" s="544"/>
      <c r="G1046" s="544"/>
      <c r="H1046" s="544"/>
      <c r="I1046" s="543"/>
      <c r="J1046" s="543"/>
      <c r="K1046" s="544"/>
      <c r="L1046" s="543"/>
      <c r="M1046" s="544"/>
      <c r="N1046" s="543"/>
      <c r="O1046" s="544"/>
      <c r="P1046" s="544"/>
      <c r="Q1046" s="544"/>
      <c r="R1046" s="544"/>
      <c r="S1046" s="544"/>
    </row>
    <row r="1047" ht="14.25" customHeight="1">
      <c r="A1047" s="542"/>
      <c r="B1047" s="543"/>
      <c r="C1047" s="543"/>
      <c r="D1047" s="544"/>
      <c r="E1047" s="544"/>
      <c r="F1047" s="544"/>
      <c r="G1047" s="544"/>
      <c r="H1047" s="544"/>
      <c r="I1047" s="543"/>
      <c r="J1047" s="543"/>
      <c r="K1047" s="544"/>
      <c r="L1047" s="543"/>
      <c r="M1047" s="544"/>
      <c r="N1047" s="543"/>
      <c r="O1047" s="544"/>
      <c r="P1047" s="544"/>
      <c r="Q1047" s="544"/>
      <c r="R1047" s="544"/>
      <c r="S1047" s="544"/>
    </row>
    <row r="1048" ht="14.25" customHeight="1">
      <c r="A1048" s="542"/>
      <c r="B1048" s="543"/>
      <c r="C1048" s="543"/>
      <c r="D1048" s="544"/>
      <c r="E1048" s="544"/>
      <c r="F1048" s="544"/>
      <c r="G1048" s="544"/>
      <c r="H1048" s="544"/>
      <c r="I1048" s="543"/>
      <c r="J1048" s="543"/>
      <c r="K1048" s="544"/>
      <c r="L1048" s="543"/>
      <c r="M1048" s="544"/>
      <c r="N1048" s="543"/>
      <c r="O1048" s="544"/>
      <c r="P1048" s="544"/>
      <c r="Q1048" s="544"/>
      <c r="R1048" s="544"/>
      <c r="S1048" s="544"/>
    </row>
    <row r="1049" ht="14.25" customHeight="1">
      <c r="A1049" s="542"/>
      <c r="B1049" s="543"/>
      <c r="C1049" s="543"/>
      <c r="D1049" s="544"/>
      <c r="E1049" s="544"/>
      <c r="F1049" s="544"/>
      <c r="G1049" s="544"/>
      <c r="H1049" s="544"/>
      <c r="I1049" s="543"/>
      <c r="J1049" s="543"/>
      <c r="K1049" s="544"/>
      <c r="L1049" s="543"/>
      <c r="M1049" s="544"/>
      <c r="N1049" s="543"/>
      <c r="O1049" s="544"/>
      <c r="P1049" s="544"/>
      <c r="Q1049" s="544"/>
      <c r="R1049" s="544"/>
      <c r="S1049" s="544"/>
    </row>
    <row r="1050" ht="14.25" customHeight="1">
      <c r="A1050" s="542"/>
      <c r="B1050" s="543"/>
      <c r="C1050" s="543"/>
      <c r="D1050" s="544"/>
      <c r="E1050" s="544"/>
      <c r="F1050" s="544"/>
      <c r="G1050" s="544"/>
      <c r="H1050" s="544"/>
      <c r="I1050" s="543"/>
      <c r="J1050" s="543"/>
      <c r="K1050" s="544"/>
      <c r="L1050" s="543"/>
      <c r="M1050" s="544"/>
      <c r="N1050" s="543"/>
      <c r="O1050" s="544"/>
      <c r="P1050" s="544"/>
      <c r="Q1050" s="544"/>
      <c r="R1050" s="544"/>
      <c r="S1050" s="544"/>
    </row>
    <row r="1051" ht="14.25" customHeight="1">
      <c r="A1051" s="542"/>
      <c r="B1051" s="543"/>
      <c r="C1051" s="543"/>
      <c r="D1051" s="544"/>
      <c r="E1051" s="544"/>
      <c r="F1051" s="544"/>
      <c r="G1051" s="544"/>
      <c r="H1051" s="544"/>
      <c r="I1051" s="543"/>
      <c r="J1051" s="543"/>
      <c r="K1051" s="544"/>
      <c r="L1051" s="543"/>
      <c r="M1051" s="544"/>
      <c r="N1051" s="543"/>
      <c r="O1051" s="544"/>
      <c r="P1051" s="544"/>
      <c r="Q1051" s="544"/>
      <c r="R1051" s="544"/>
      <c r="S1051" s="544"/>
    </row>
    <row r="1052" ht="14.25" customHeight="1">
      <c r="A1052" s="542"/>
      <c r="B1052" s="543"/>
      <c r="C1052" s="543"/>
      <c r="D1052" s="544"/>
      <c r="E1052" s="544"/>
      <c r="F1052" s="544"/>
      <c r="G1052" s="544"/>
      <c r="H1052" s="544"/>
      <c r="I1052" s="543"/>
      <c r="J1052" s="543"/>
      <c r="K1052" s="544"/>
      <c r="L1052" s="543"/>
      <c r="M1052" s="544"/>
      <c r="N1052" s="543"/>
      <c r="O1052" s="544"/>
      <c r="P1052" s="544"/>
      <c r="Q1052" s="544"/>
      <c r="R1052" s="544"/>
      <c r="S1052" s="544"/>
    </row>
    <row r="1053" ht="14.25" customHeight="1">
      <c r="A1053" s="542"/>
      <c r="B1053" s="543"/>
      <c r="C1053" s="543"/>
      <c r="D1053" s="544"/>
      <c r="E1053" s="544"/>
      <c r="F1053" s="544"/>
      <c r="G1053" s="544"/>
      <c r="H1053" s="544"/>
      <c r="I1053" s="543"/>
      <c r="J1053" s="543"/>
      <c r="K1053" s="544"/>
      <c r="L1053" s="543"/>
      <c r="M1053" s="544"/>
      <c r="N1053" s="543"/>
      <c r="O1053" s="544"/>
      <c r="P1053" s="544"/>
      <c r="Q1053" s="544"/>
      <c r="R1053" s="544"/>
      <c r="S1053" s="544"/>
    </row>
    <row r="1054" ht="14.25" customHeight="1">
      <c r="A1054" s="542"/>
      <c r="B1054" s="543"/>
      <c r="C1054" s="543"/>
      <c r="D1054" s="544"/>
      <c r="E1054" s="544"/>
      <c r="F1054" s="544"/>
      <c r="G1054" s="544"/>
      <c r="H1054" s="544"/>
      <c r="I1054" s="543"/>
      <c r="J1054" s="543"/>
      <c r="K1054" s="544"/>
      <c r="L1054" s="543"/>
      <c r="M1054" s="544"/>
      <c r="N1054" s="543"/>
      <c r="O1054" s="544"/>
      <c r="P1054" s="544"/>
      <c r="Q1054" s="544"/>
      <c r="R1054" s="544"/>
      <c r="S1054" s="544"/>
    </row>
    <row r="1055" ht="14.25" customHeight="1">
      <c r="A1055" s="542"/>
      <c r="B1055" s="543"/>
      <c r="C1055" s="543"/>
      <c r="D1055" s="544"/>
      <c r="E1055" s="544"/>
      <c r="F1055" s="544"/>
      <c r="G1055" s="544"/>
      <c r="H1055" s="544"/>
      <c r="I1055" s="543"/>
      <c r="J1055" s="543"/>
      <c r="K1055" s="544"/>
      <c r="L1055" s="543"/>
      <c r="M1055" s="544"/>
      <c r="N1055" s="543"/>
      <c r="O1055" s="544"/>
      <c r="P1055" s="544"/>
      <c r="Q1055" s="544"/>
      <c r="R1055" s="544"/>
      <c r="S1055" s="544"/>
    </row>
    <row r="1056" ht="14.25" customHeight="1">
      <c r="A1056" s="542"/>
      <c r="B1056" s="543"/>
      <c r="C1056" s="543"/>
      <c r="D1056" s="544"/>
      <c r="E1056" s="544"/>
      <c r="F1056" s="544"/>
      <c r="G1056" s="544"/>
      <c r="H1056" s="544"/>
      <c r="I1056" s="543"/>
      <c r="J1056" s="543"/>
      <c r="K1056" s="544"/>
      <c r="L1056" s="543"/>
      <c r="M1056" s="544"/>
      <c r="N1056" s="543"/>
      <c r="O1056" s="544"/>
      <c r="P1056" s="544"/>
      <c r="Q1056" s="544"/>
      <c r="R1056" s="544"/>
      <c r="S1056" s="544"/>
    </row>
    <row r="1057" ht="14.25" customHeight="1">
      <c r="A1057" s="542"/>
      <c r="B1057" s="543"/>
      <c r="C1057" s="543"/>
      <c r="D1057" s="544"/>
      <c r="E1057" s="544"/>
      <c r="F1057" s="544"/>
      <c r="G1057" s="544"/>
      <c r="H1057" s="544"/>
      <c r="I1057" s="543"/>
      <c r="J1057" s="543"/>
      <c r="K1057" s="544"/>
      <c r="L1057" s="543"/>
      <c r="M1057" s="544"/>
      <c r="N1057" s="543"/>
      <c r="O1057" s="544"/>
      <c r="P1057" s="544"/>
      <c r="Q1057" s="544"/>
      <c r="R1057" s="544"/>
      <c r="S1057" s="544"/>
    </row>
    <row r="1058" ht="14.25" customHeight="1">
      <c r="A1058" s="542"/>
      <c r="B1058" s="543"/>
      <c r="C1058" s="543"/>
      <c r="D1058" s="544"/>
      <c r="E1058" s="544"/>
      <c r="F1058" s="544"/>
      <c r="G1058" s="544"/>
      <c r="H1058" s="544"/>
      <c r="I1058" s="543"/>
      <c r="J1058" s="543"/>
      <c r="K1058" s="544"/>
      <c r="L1058" s="543"/>
      <c r="M1058" s="544"/>
      <c r="N1058" s="543"/>
      <c r="O1058" s="544"/>
      <c r="P1058" s="544"/>
      <c r="Q1058" s="544"/>
      <c r="R1058" s="544"/>
      <c r="S1058" s="544"/>
    </row>
    <row r="1059" ht="14.25" customHeight="1">
      <c r="A1059" s="542"/>
      <c r="B1059" s="543"/>
      <c r="C1059" s="543"/>
      <c r="D1059" s="544"/>
      <c r="E1059" s="544"/>
      <c r="F1059" s="544"/>
      <c r="G1059" s="544"/>
      <c r="H1059" s="544"/>
      <c r="I1059" s="543"/>
      <c r="J1059" s="543"/>
      <c r="K1059" s="544"/>
      <c r="L1059" s="543"/>
      <c r="M1059" s="544"/>
      <c r="N1059" s="543"/>
      <c r="O1059" s="544"/>
      <c r="P1059" s="544"/>
      <c r="Q1059" s="544"/>
      <c r="R1059" s="544"/>
      <c r="S1059" s="544"/>
    </row>
    <row r="1060" ht="14.25" customHeight="1">
      <c r="A1060" s="542"/>
      <c r="B1060" s="543"/>
      <c r="C1060" s="543"/>
      <c r="D1060" s="544"/>
      <c r="E1060" s="544"/>
      <c r="F1060" s="544"/>
      <c r="G1060" s="544"/>
      <c r="H1060" s="544"/>
      <c r="I1060" s="543"/>
      <c r="J1060" s="543"/>
      <c r="K1060" s="544"/>
      <c r="L1060" s="543"/>
      <c r="M1060" s="544"/>
      <c r="N1060" s="543"/>
      <c r="O1060" s="544"/>
      <c r="P1060" s="544"/>
      <c r="Q1060" s="544"/>
      <c r="R1060" s="544"/>
      <c r="S1060" s="544"/>
    </row>
    <row r="1061" ht="14.25" customHeight="1">
      <c r="A1061" s="542"/>
      <c r="B1061" s="543"/>
      <c r="C1061" s="543"/>
      <c r="D1061" s="544"/>
      <c r="E1061" s="544"/>
      <c r="F1061" s="544"/>
      <c r="G1061" s="544"/>
      <c r="H1061" s="544"/>
      <c r="I1061" s="543"/>
      <c r="J1061" s="543"/>
      <c r="K1061" s="544"/>
      <c r="L1061" s="543"/>
      <c r="M1061" s="544"/>
      <c r="N1061" s="543"/>
      <c r="O1061" s="544"/>
      <c r="P1061" s="544"/>
      <c r="Q1061" s="544"/>
      <c r="R1061" s="544"/>
      <c r="S1061" s="544"/>
    </row>
    <row r="1062" ht="14.25" customHeight="1">
      <c r="A1062" s="542"/>
      <c r="B1062" s="543"/>
      <c r="C1062" s="543"/>
      <c r="D1062" s="544"/>
      <c r="E1062" s="544"/>
      <c r="F1062" s="544"/>
      <c r="G1062" s="544"/>
      <c r="H1062" s="544"/>
      <c r="I1062" s="543"/>
      <c r="J1062" s="543"/>
      <c r="K1062" s="544"/>
      <c r="L1062" s="543"/>
      <c r="M1062" s="544"/>
      <c r="N1062" s="543"/>
      <c r="O1062" s="544"/>
      <c r="P1062" s="544"/>
      <c r="Q1062" s="544"/>
      <c r="R1062" s="544"/>
      <c r="S1062" s="544"/>
    </row>
    <row r="1063" ht="14.25" customHeight="1">
      <c r="A1063" s="542"/>
      <c r="B1063" s="543"/>
      <c r="C1063" s="543"/>
      <c r="D1063" s="544"/>
      <c r="E1063" s="544"/>
      <c r="F1063" s="544"/>
      <c r="G1063" s="544"/>
      <c r="H1063" s="544"/>
      <c r="I1063" s="543"/>
      <c r="J1063" s="543"/>
      <c r="K1063" s="544"/>
      <c r="L1063" s="543"/>
      <c r="M1063" s="544"/>
      <c r="N1063" s="543"/>
      <c r="O1063" s="544"/>
      <c r="P1063" s="544"/>
      <c r="Q1063" s="544"/>
      <c r="R1063" s="544"/>
      <c r="S1063" s="544"/>
    </row>
    <row r="1064" ht="14.25" customHeight="1">
      <c r="A1064" s="542"/>
      <c r="B1064" s="543"/>
      <c r="C1064" s="543"/>
      <c r="D1064" s="544"/>
      <c r="E1064" s="544"/>
      <c r="F1064" s="544"/>
      <c r="G1064" s="544"/>
      <c r="H1064" s="544"/>
      <c r="I1064" s="543"/>
      <c r="J1064" s="543"/>
      <c r="K1064" s="544"/>
      <c r="L1064" s="543"/>
      <c r="M1064" s="544"/>
      <c r="N1064" s="543"/>
      <c r="O1064" s="544"/>
      <c r="P1064" s="544"/>
      <c r="Q1064" s="544"/>
      <c r="R1064" s="544"/>
      <c r="S1064" s="544"/>
    </row>
    <row r="1065" ht="14.25" customHeight="1">
      <c r="A1065" s="542"/>
      <c r="B1065" s="543"/>
      <c r="C1065" s="543"/>
      <c r="D1065" s="544"/>
      <c r="E1065" s="544"/>
      <c r="F1065" s="544"/>
      <c r="G1065" s="544"/>
      <c r="H1065" s="544"/>
      <c r="I1065" s="543"/>
      <c r="J1065" s="543"/>
      <c r="K1065" s="544"/>
      <c r="L1065" s="543"/>
      <c r="M1065" s="544"/>
      <c r="N1065" s="543"/>
      <c r="O1065" s="544"/>
      <c r="P1065" s="544"/>
      <c r="Q1065" s="544"/>
      <c r="R1065" s="544"/>
      <c r="S1065" s="544"/>
    </row>
    <row r="1066" ht="14.25" customHeight="1">
      <c r="A1066" s="542"/>
      <c r="B1066" s="543"/>
      <c r="C1066" s="543"/>
      <c r="D1066" s="544"/>
      <c r="E1066" s="544"/>
      <c r="F1066" s="544"/>
      <c r="G1066" s="544"/>
      <c r="H1066" s="544"/>
      <c r="I1066" s="543"/>
      <c r="J1066" s="543"/>
      <c r="K1066" s="544"/>
      <c r="L1066" s="543"/>
      <c r="M1066" s="544"/>
      <c r="N1066" s="543"/>
      <c r="O1066" s="544"/>
      <c r="P1066" s="544"/>
      <c r="Q1066" s="544"/>
      <c r="R1066" s="544"/>
      <c r="S1066" s="544"/>
    </row>
    <row r="1067" ht="14.25" customHeight="1">
      <c r="A1067" s="542"/>
      <c r="B1067" s="543"/>
      <c r="C1067" s="543"/>
      <c r="D1067" s="544"/>
      <c r="E1067" s="544"/>
      <c r="F1067" s="544"/>
      <c r="G1067" s="544"/>
      <c r="H1067" s="544"/>
      <c r="I1067" s="543"/>
      <c r="J1067" s="543"/>
      <c r="K1067" s="544"/>
      <c r="L1067" s="543"/>
      <c r="M1067" s="544"/>
      <c r="N1067" s="543"/>
      <c r="O1067" s="544"/>
      <c r="P1067" s="544"/>
      <c r="Q1067" s="544"/>
      <c r="R1067" s="544"/>
      <c r="S1067" s="544"/>
    </row>
    <row r="1068" ht="14.25" customHeight="1">
      <c r="A1068" s="542"/>
      <c r="B1068" s="543"/>
      <c r="C1068" s="543"/>
      <c r="D1068" s="544"/>
      <c r="E1068" s="544"/>
      <c r="F1068" s="544"/>
      <c r="G1068" s="544"/>
      <c r="H1068" s="544"/>
      <c r="I1068" s="543"/>
      <c r="J1068" s="543"/>
      <c r="K1068" s="544"/>
      <c r="L1068" s="543"/>
      <c r="M1068" s="544"/>
      <c r="N1068" s="543"/>
      <c r="O1068" s="544"/>
      <c r="P1068" s="544"/>
      <c r="Q1068" s="544"/>
      <c r="R1068" s="544"/>
      <c r="S1068" s="544"/>
    </row>
    <row r="1069" ht="14.25" customHeight="1">
      <c r="A1069" s="542"/>
      <c r="B1069" s="543"/>
      <c r="C1069" s="543"/>
      <c r="D1069" s="544"/>
      <c r="E1069" s="544"/>
      <c r="F1069" s="544"/>
      <c r="G1069" s="544"/>
      <c r="H1069" s="544"/>
      <c r="I1069" s="543"/>
      <c r="J1069" s="543"/>
      <c r="K1069" s="544"/>
      <c r="L1069" s="543"/>
      <c r="M1069" s="544"/>
      <c r="N1069" s="543"/>
      <c r="O1069" s="544"/>
      <c r="P1069" s="544"/>
      <c r="Q1069" s="544"/>
      <c r="R1069" s="544"/>
      <c r="S1069" s="544"/>
    </row>
    <row r="1070" ht="14.25" customHeight="1">
      <c r="A1070" s="542"/>
      <c r="B1070" s="543"/>
      <c r="C1070" s="543"/>
      <c r="D1070" s="544"/>
      <c r="E1070" s="544"/>
      <c r="F1070" s="544"/>
      <c r="G1070" s="544"/>
      <c r="H1070" s="544"/>
      <c r="I1070" s="543"/>
      <c r="J1070" s="543"/>
      <c r="K1070" s="544"/>
      <c r="L1070" s="543"/>
      <c r="M1070" s="544"/>
      <c r="N1070" s="543"/>
      <c r="O1070" s="544"/>
      <c r="P1070" s="544"/>
      <c r="Q1070" s="544"/>
      <c r="R1070" s="544"/>
      <c r="S1070" s="544"/>
    </row>
    <row r="1071" ht="14.25" customHeight="1">
      <c r="A1071" s="542"/>
      <c r="B1071" s="543"/>
      <c r="C1071" s="543"/>
      <c r="D1071" s="544"/>
      <c r="E1071" s="544"/>
      <c r="F1071" s="544"/>
      <c r="G1071" s="544"/>
      <c r="H1071" s="544"/>
      <c r="I1071" s="543"/>
      <c r="J1071" s="543"/>
      <c r="K1071" s="544"/>
      <c r="L1071" s="543"/>
      <c r="M1071" s="544"/>
      <c r="N1071" s="543"/>
      <c r="O1071" s="544"/>
      <c r="P1071" s="544"/>
      <c r="Q1071" s="544"/>
      <c r="R1071" s="544"/>
      <c r="S1071" s="544"/>
    </row>
    <row r="1072" ht="14.25" customHeight="1">
      <c r="A1072" s="542"/>
      <c r="B1072" s="543"/>
      <c r="C1072" s="543"/>
      <c r="D1072" s="544"/>
      <c r="E1072" s="544"/>
      <c r="F1072" s="544"/>
      <c r="G1072" s="544"/>
      <c r="H1072" s="544"/>
      <c r="I1072" s="543"/>
      <c r="J1072" s="543"/>
      <c r="K1072" s="544"/>
      <c r="L1072" s="543"/>
      <c r="M1072" s="544"/>
      <c r="N1072" s="543"/>
      <c r="O1072" s="544"/>
      <c r="P1072" s="544"/>
      <c r="Q1072" s="544"/>
      <c r="R1072" s="544"/>
      <c r="S1072" s="544"/>
    </row>
    <row r="1073" ht="14.25" customHeight="1">
      <c r="A1073" s="542"/>
      <c r="B1073" s="543"/>
      <c r="C1073" s="543"/>
      <c r="D1073" s="544"/>
      <c r="E1073" s="544"/>
      <c r="F1073" s="544"/>
      <c r="G1073" s="544"/>
      <c r="H1073" s="544"/>
      <c r="I1073" s="543"/>
      <c r="J1073" s="543"/>
      <c r="K1073" s="544"/>
      <c r="L1073" s="543"/>
      <c r="M1073" s="544"/>
      <c r="N1073" s="543"/>
      <c r="O1073" s="544"/>
      <c r="P1073" s="544"/>
      <c r="Q1073" s="544"/>
      <c r="R1073" s="544"/>
      <c r="S1073" s="544"/>
    </row>
    <row r="1074" ht="14.25" customHeight="1">
      <c r="A1074" s="542"/>
      <c r="B1074" s="543"/>
      <c r="C1074" s="543"/>
      <c r="D1074" s="544"/>
      <c r="E1074" s="544"/>
      <c r="F1074" s="544"/>
      <c r="G1074" s="544"/>
      <c r="H1074" s="544"/>
      <c r="I1074" s="543"/>
      <c r="J1074" s="543"/>
      <c r="K1074" s="544"/>
      <c r="L1074" s="543"/>
      <c r="M1074" s="544"/>
      <c r="N1074" s="543"/>
      <c r="O1074" s="544"/>
      <c r="P1074" s="544"/>
      <c r="Q1074" s="544"/>
      <c r="R1074" s="544"/>
      <c r="S1074" s="544"/>
    </row>
    <row r="1075" ht="14.25" customHeight="1">
      <c r="A1075" s="542"/>
      <c r="B1075" s="543"/>
      <c r="C1075" s="543"/>
      <c r="D1075" s="544"/>
      <c r="E1075" s="544"/>
      <c r="F1075" s="544"/>
      <c r="G1075" s="544"/>
      <c r="H1075" s="544"/>
      <c r="I1075" s="543"/>
      <c r="J1075" s="543"/>
      <c r="K1075" s="544"/>
      <c r="L1075" s="543"/>
      <c r="M1075" s="544"/>
      <c r="N1075" s="543"/>
      <c r="O1075" s="544"/>
      <c r="P1075" s="544"/>
      <c r="Q1075" s="544"/>
      <c r="R1075" s="544"/>
      <c r="S1075" s="544"/>
    </row>
    <row r="1076" ht="14.25" customHeight="1">
      <c r="A1076" s="542"/>
      <c r="B1076" s="543"/>
      <c r="C1076" s="543"/>
      <c r="D1076" s="544"/>
      <c r="E1076" s="544"/>
      <c r="F1076" s="544"/>
      <c r="G1076" s="544"/>
      <c r="H1076" s="544"/>
      <c r="I1076" s="543"/>
      <c r="J1076" s="543"/>
      <c r="K1076" s="544"/>
      <c r="L1076" s="543"/>
      <c r="M1076" s="544"/>
      <c r="N1076" s="543"/>
      <c r="O1076" s="544"/>
      <c r="P1076" s="544"/>
      <c r="Q1076" s="544"/>
      <c r="R1076" s="544"/>
      <c r="S1076" s="544"/>
    </row>
    <row r="1077" ht="14.25" customHeight="1">
      <c r="A1077" s="542"/>
      <c r="B1077" s="543"/>
      <c r="C1077" s="543"/>
      <c r="D1077" s="544"/>
      <c r="E1077" s="544"/>
      <c r="F1077" s="544"/>
      <c r="G1077" s="544"/>
      <c r="H1077" s="544"/>
      <c r="I1077" s="543"/>
      <c r="J1077" s="543"/>
      <c r="K1077" s="544"/>
      <c r="L1077" s="543"/>
      <c r="M1077" s="544"/>
      <c r="N1077" s="543"/>
      <c r="O1077" s="544"/>
      <c r="P1077" s="544"/>
      <c r="Q1077" s="544"/>
      <c r="R1077" s="544"/>
      <c r="S1077" s="544"/>
    </row>
    <row r="1078" ht="14.25" customHeight="1">
      <c r="A1078" s="542"/>
      <c r="B1078" s="543"/>
      <c r="C1078" s="543"/>
      <c r="D1078" s="544"/>
      <c r="E1078" s="544"/>
      <c r="F1078" s="544"/>
      <c r="G1078" s="544"/>
      <c r="H1078" s="544"/>
      <c r="I1078" s="543"/>
      <c r="J1078" s="543"/>
      <c r="K1078" s="544"/>
      <c r="L1078" s="543"/>
      <c r="M1078" s="544"/>
      <c r="N1078" s="543"/>
      <c r="O1078" s="544"/>
      <c r="P1078" s="544"/>
      <c r="Q1078" s="544"/>
      <c r="R1078" s="544"/>
      <c r="S1078" s="544"/>
    </row>
    <row r="1079" ht="14.25" customHeight="1">
      <c r="A1079" s="542"/>
      <c r="B1079" s="543"/>
      <c r="C1079" s="543"/>
      <c r="D1079" s="544"/>
      <c r="E1079" s="544"/>
      <c r="F1079" s="544"/>
      <c r="G1079" s="544"/>
      <c r="H1079" s="544"/>
      <c r="I1079" s="543"/>
      <c r="J1079" s="543"/>
      <c r="K1079" s="544"/>
      <c r="L1079" s="543"/>
      <c r="M1079" s="544"/>
      <c r="N1079" s="543"/>
      <c r="O1079" s="544"/>
      <c r="P1079" s="544"/>
      <c r="Q1079" s="544"/>
      <c r="R1079" s="544"/>
      <c r="S1079" s="544"/>
    </row>
    <row r="1080" ht="14.25" customHeight="1">
      <c r="A1080" s="542"/>
      <c r="B1080" s="543"/>
      <c r="C1080" s="543"/>
      <c r="D1080" s="544"/>
      <c r="E1080" s="544"/>
      <c r="F1080" s="544"/>
      <c r="G1080" s="544"/>
      <c r="H1080" s="544"/>
      <c r="I1080" s="543"/>
      <c r="J1080" s="543"/>
      <c r="K1080" s="544"/>
      <c r="L1080" s="543"/>
      <c r="M1080" s="544"/>
      <c r="N1080" s="543"/>
      <c r="O1080" s="544"/>
      <c r="P1080" s="544"/>
      <c r="Q1080" s="544"/>
      <c r="R1080" s="544"/>
      <c r="S1080" s="544"/>
    </row>
    <row r="1081" ht="14.25" customHeight="1">
      <c r="A1081" s="542"/>
      <c r="B1081" s="543"/>
      <c r="C1081" s="543"/>
      <c r="D1081" s="544"/>
      <c r="E1081" s="544"/>
      <c r="F1081" s="544"/>
      <c r="G1081" s="544"/>
      <c r="H1081" s="544"/>
      <c r="I1081" s="543"/>
      <c r="J1081" s="543"/>
      <c r="K1081" s="544"/>
      <c r="L1081" s="543"/>
      <c r="M1081" s="544"/>
      <c r="N1081" s="543"/>
      <c r="O1081" s="544"/>
      <c r="P1081" s="544"/>
      <c r="Q1081" s="544"/>
      <c r="R1081" s="544"/>
      <c r="S1081" s="544"/>
    </row>
    <row r="1082" ht="14.25" customHeight="1">
      <c r="A1082" s="542"/>
      <c r="B1082" s="543"/>
      <c r="C1082" s="543"/>
      <c r="D1082" s="544"/>
      <c r="E1082" s="544"/>
      <c r="F1082" s="544"/>
      <c r="G1082" s="544"/>
      <c r="H1082" s="544"/>
      <c r="I1082" s="543"/>
      <c r="J1082" s="543"/>
      <c r="K1082" s="544"/>
      <c r="L1082" s="543"/>
      <c r="M1082" s="544"/>
      <c r="N1082" s="543"/>
      <c r="O1082" s="544"/>
      <c r="P1082" s="544"/>
      <c r="Q1082" s="544"/>
      <c r="R1082" s="544"/>
      <c r="S1082" s="544"/>
    </row>
    <row r="1083" ht="14.25" customHeight="1">
      <c r="A1083" s="542"/>
      <c r="B1083" s="543"/>
      <c r="C1083" s="543"/>
      <c r="D1083" s="544"/>
      <c r="E1083" s="544"/>
      <c r="F1083" s="544"/>
      <c r="G1083" s="544"/>
      <c r="H1083" s="544"/>
      <c r="I1083" s="543"/>
      <c r="J1083" s="543"/>
      <c r="K1083" s="544"/>
      <c r="L1083" s="543"/>
      <c r="M1083" s="544"/>
      <c r="N1083" s="543"/>
      <c r="O1083" s="544"/>
      <c r="P1083" s="544"/>
      <c r="Q1083" s="544"/>
      <c r="R1083" s="544"/>
      <c r="S1083" s="544"/>
    </row>
    <row r="1084" ht="14.25" customHeight="1">
      <c r="A1084" s="542"/>
      <c r="B1084" s="543"/>
      <c r="C1084" s="543"/>
      <c r="D1084" s="544"/>
      <c r="E1084" s="544"/>
      <c r="F1084" s="544"/>
      <c r="G1084" s="544"/>
      <c r="H1084" s="544"/>
      <c r="I1084" s="543"/>
      <c r="J1084" s="543"/>
      <c r="K1084" s="544"/>
      <c r="L1084" s="543"/>
      <c r="M1084" s="544"/>
      <c r="N1084" s="543"/>
      <c r="O1084" s="544"/>
      <c r="P1084" s="544"/>
      <c r="Q1084" s="544"/>
      <c r="R1084" s="544"/>
      <c r="S1084" s="544"/>
    </row>
    <row r="1085" ht="14.25" customHeight="1">
      <c r="A1085" s="542"/>
      <c r="B1085" s="543"/>
      <c r="C1085" s="543"/>
      <c r="D1085" s="544"/>
      <c r="E1085" s="544"/>
      <c r="F1085" s="544"/>
      <c r="G1085" s="544"/>
      <c r="H1085" s="544"/>
      <c r="I1085" s="543"/>
      <c r="J1085" s="543"/>
      <c r="K1085" s="544"/>
      <c r="L1085" s="543"/>
      <c r="M1085" s="544"/>
      <c r="N1085" s="543"/>
      <c r="O1085" s="544"/>
      <c r="P1085" s="544"/>
      <c r="Q1085" s="544"/>
      <c r="R1085" s="544"/>
      <c r="S1085" s="544"/>
    </row>
    <row r="1086" ht="14.25" customHeight="1">
      <c r="A1086" s="542"/>
      <c r="B1086" s="543"/>
      <c r="C1086" s="543"/>
      <c r="D1086" s="544"/>
      <c r="E1086" s="544"/>
      <c r="F1086" s="544"/>
      <c r="G1086" s="544"/>
      <c r="H1086" s="544"/>
      <c r="I1086" s="543"/>
      <c r="J1086" s="543"/>
      <c r="K1086" s="544"/>
      <c r="L1086" s="543"/>
      <c r="M1086" s="544"/>
      <c r="N1086" s="543"/>
      <c r="O1086" s="544"/>
      <c r="P1086" s="544"/>
      <c r="Q1086" s="544"/>
      <c r="R1086" s="544"/>
      <c r="S1086" s="544"/>
    </row>
    <row r="1087" ht="14.25" customHeight="1">
      <c r="A1087" s="542"/>
      <c r="B1087" s="543"/>
      <c r="C1087" s="543"/>
      <c r="D1087" s="544"/>
      <c r="E1087" s="544"/>
      <c r="F1087" s="544"/>
      <c r="G1087" s="544"/>
      <c r="H1087" s="544"/>
      <c r="I1087" s="543"/>
      <c r="J1087" s="543"/>
      <c r="K1087" s="544"/>
      <c r="L1087" s="543"/>
      <c r="M1087" s="544"/>
      <c r="N1087" s="543"/>
      <c r="O1087" s="544"/>
      <c r="P1087" s="544"/>
      <c r="Q1087" s="544"/>
      <c r="R1087" s="544"/>
      <c r="S1087" s="544"/>
    </row>
    <row r="1088" ht="14.25" customHeight="1">
      <c r="A1088" s="542"/>
      <c r="B1088" s="543"/>
      <c r="C1088" s="543"/>
      <c r="D1088" s="544"/>
      <c r="E1088" s="544"/>
      <c r="F1088" s="544"/>
      <c r="G1088" s="544"/>
      <c r="H1088" s="544"/>
      <c r="I1088" s="543"/>
      <c r="J1088" s="543"/>
      <c r="K1088" s="544"/>
      <c r="L1088" s="543"/>
      <c r="M1088" s="544"/>
      <c r="N1088" s="543"/>
      <c r="O1088" s="544"/>
      <c r="P1088" s="544"/>
      <c r="Q1088" s="544"/>
      <c r="R1088" s="544"/>
      <c r="S1088" s="544"/>
    </row>
    <row r="1089" ht="14.25" customHeight="1">
      <c r="A1089" s="542"/>
      <c r="B1089" s="543"/>
      <c r="C1089" s="543"/>
      <c r="D1089" s="544"/>
      <c r="E1089" s="544"/>
      <c r="F1089" s="544"/>
      <c r="G1089" s="544"/>
      <c r="H1089" s="544"/>
      <c r="I1089" s="543"/>
      <c r="J1089" s="543"/>
      <c r="K1089" s="544"/>
      <c r="L1089" s="543"/>
      <c r="M1089" s="544"/>
      <c r="N1089" s="543"/>
      <c r="O1089" s="544"/>
      <c r="P1089" s="544"/>
      <c r="Q1089" s="544"/>
      <c r="R1089" s="544"/>
      <c r="S1089" s="544"/>
    </row>
    <row r="1090" ht="14.25" customHeight="1">
      <c r="A1090" s="542"/>
      <c r="B1090" s="543"/>
      <c r="C1090" s="543"/>
      <c r="D1090" s="544"/>
      <c r="E1090" s="544"/>
      <c r="F1090" s="544"/>
      <c r="G1090" s="544"/>
      <c r="H1090" s="544"/>
      <c r="I1090" s="543"/>
      <c r="J1090" s="543"/>
      <c r="K1090" s="544"/>
      <c r="L1090" s="543"/>
      <c r="M1090" s="544"/>
      <c r="N1090" s="543"/>
      <c r="O1090" s="544"/>
      <c r="P1090" s="544"/>
      <c r="Q1090" s="544"/>
      <c r="R1090" s="544"/>
      <c r="S1090" s="544"/>
    </row>
    <row r="1091" ht="14.25" customHeight="1">
      <c r="A1091" s="542"/>
      <c r="B1091" s="543"/>
      <c r="C1091" s="543"/>
      <c r="D1091" s="544"/>
      <c r="E1091" s="544"/>
      <c r="F1091" s="544"/>
      <c r="G1091" s="544"/>
      <c r="H1091" s="544"/>
      <c r="I1091" s="543"/>
      <c r="J1091" s="543"/>
      <c r="K1091" s="544"/>
      <c r="L1091" s="543"/>
      <c r="M1091" s="544"/>
      <c r="N1091" s="543"/>
      <c r="O1091" s="544"/>
      <c r="P1091" s="544"/>
      <c r="Q1091" s="544"/>
      <c r="R1091" s="544"/>
      <c r="S1091" s="544"/>
    </row>
    <row r="1092" ht="14.25" customHeight="1">
      <c r="A1092" s="542"/>
      <c r="B1092" s="543"/>
      <c r="C1092" s="543"/>
      <c r="D1092" s="544"/>
      <c r="E1092" s="544"/>
      <c r="F1092" s="544"/>
      <c r="G1092" s="544"/>
      <c r="H1092" s="544"/>
      <c r="I1092" s="543"/>
      <c r="J1092" s="543"/>
      <c r="K1092" s="544"/>
      <c r="L1092" s="543"/>
      <c r="M1092" s="544"/>
      <c r="N1092" s="543"/>
      <c r="O1092" s="544"/>
      <c r="P1092" s="544"/>
      <c r="Q1092" s="544"/>
      <c r="R1092" s="544"/>
      <c r="S1092" s="544"/>
    </row>
    <row r="1093" ht="14.25" customHeight="1">
      <c r="A1093" s="542"/>
      <c r="B1093" s="543"/>
      <c r="C1093" s="543"/>
      <c r="D1093" s="544"/>
      <c r="E1093" s="544"/>
      <c r="F1093" s="544"/>
      <c r="G1093" s="544"/>
      <c r="H1093" s="544"/>
      <c r="I1093" s="543"/>
      <c r="J1093" s="543"/>
      <c r="K1093" s="544"/>
      <c r="L1093" s="543"/>
      <c r="M1093" s="544"/>
      <c r="N1093" s="543"/>
      <c r="O1093" s="544"/>
      <c r="P1093" s="544"/>
      <c r="Q1093" s="544"/>
      <c r="R1093" s="544"/>
      <c r="S1093" s="544"/>
    </row>
    <row r="1094" ht="14.25" customHeight="1">
      <c r="A1094" s="542"/>
      <c r="B1094" s="543"/>
      <c r="C1094" s="543"/>
      <c r="D1094" s="544"/>
      <c r="E1094" s="544"/>
      <c r="F1094" s="544"/>
      <c r="G1094" s="544"/>
      <c r="H1094" s="544"/>
      <c r="I1094" s="543"/>
      <c r="J1094" s="543"/>
      <c r="K1094" s="544"/>
      <c r="L1094" s="543"/>
      <c r="M1094" s="544"/>
      <c r="N1094" s="543"/>
      <c r="O1094" s="544"/>
      <c r="P1094" s="544"/>
      <c r="Q1094" s="544"/>
      <c r="R1094" s="544"/>
      <c r="S1094" s="544"/>
    </row>
    <row r="1095" ht="14.25" customHeight="1">
      <c r="A1095" s="542"/>
      <c r="B1095" s="543"/>
      <c r="C1095" s="543"/>
      <c r="D1095" s="544"/>
      <c r="E1095" s="544"/>
      <c r="F1095" s="544"/>
      <c r="G1095" s="544"/>
      <c r="H1095" s="544"/>
      <c r="I1095" s="543"/>
      <c r="J1095" s="543"/>
      <c r="K1095" s="544"/>
      <c r="L1095" s="543"/>
      <c r="M1095" s="544"/>
      <c r="N1095" s="543"/>
      <c r="O1095" s="544"/>
      <c r="P1095" s="544"/>
      <c r="Q1095" s="544"/>
      <c r="R1095" s="544"/>
      <c r="S1095" s="544"/>
    </row>
    <row r="1096" ht="14.25" customHeight="1">
      <c r="A1096" s="542"/>
      <c r="B1096" s="543"/>
      <c r="C1096" s="543"/>
      <c r="D1096" s="544"/>
      <c r="E1096" s="544"/>
      <c r="F1096" s="544"/>
      <c r="G1096" s="544"/>
      <c r="H1096" s="544"/>
      <c r="I1096" s="543"/>
      <c r="J1096" s="543"/>
      <c r="K1096" s="544"/>
      <c r="L1096" s="543"/>
      <c r="M1096" s="544"/>
      <c r="N1096" s="543"/>
      <c r="O1096" s="544"/>
      <c r="P1096" s="544"/>
      <c r="Q1096" s="544"/>
      <c r="R1096" s="544"/>
      <c r="S1096" s="544"/>
    </row>
    <row r="1097" ht="14.25" customHeight="1">
      <c r="A1097" s="542"/>
      <c r="B1097" s="543"/>
      <c r="C1097" s="543"/>
      <c r="D1097" s="544"/>
      <c r="E1097" s="544"/>
      <c r="F1097" s="544"/>
      <c r="G1097" s="544"/>
      <c r="H1097" s="544"/>
      <c r="I1097" s="543"/>
      <c r="J1097" s="543"/>
      <c r="K1097" s="544"/>
      <c r="L1097" s="543"/>
      <c r="M1097" s="544"/>
      <c r="N1097" s="543"/>
      <c r="O1097" s="544"/>
      <c r="P1097" s="544"/>
      <c r="Q1097" s="544"/>
      <c r="R1097" s="544"/>
      <c r="S1097" s="544"/>
    </row>
    <row r="1098" ht="14.25" customHeight="1">
      <c r="A1098" s="542"/>
      <c r="B1098" s="543"/>
      <c r="C1098" s="543"/>
      <c r="D1098" s="544"/>
      <c r="E1098" s="544"/>
      <c r="F1098" s="544"/>
      <c r="G1098" s="544"/>
      <c r="H1098" s="544"/>
      <c r="I1098" s="543"/>
      <c r="J1098" s="543"/>
      <c r="K1098" s="544"/>
      <c r="L1098" s="543"/>
      <c r="M1098" s="544"/>
      <c r="N1098" s="543"/>
      <c r="O1098" s="544"/>
      <c r="P1098" s="544"/>
      <c r="Q1098" s="544"/>
      <c r="R1098" s="544"/>
      <c r="S1098" s="544"/>
    </row>
    <row r="1099" ht="14.25" customHeight="1">
      <c r="A1099" s="542"/>
      <c r="B1099" s="543"/>
      <c r="C1099" s="543"/>
      <c r="D1099" s="544"/>
      <c r="E1099" s="544"/>
      <c r="F1099" s="544"/>
      <c r="G1099" s="544"/>
      <c r="H1099" s="544"/>
      <c r="I1099" s="543"/>
      <c r="J1099" s="543"/>
      <c r="K1099" s="544"/>
      <c r="L1099" s="543"/>
      <c r="M1099" s="544"/>
      <c r="N1099" s="543"/>
      <c r="O1099" s="544"/>
      <c r="P1099" s="544"/>
      <c r="Q1099" s="544"/>
      <c r="R1099" s="544"/>
      <c r="S1099" s="544"/>
    </row>
    <row r="1100" ht="14.25" customHeight="1">
      <c r="A1100" s="542"/>
      <c r="B1100" s="543"/>
      <c r="C1100" s="543"/>
      <c r="D1100" s="544"/>
      <c r="E1100" s="544"/>
      <c r="F1100" s="544"/>
      <c r="G1100" s="544"/>
      <c r="H1100" s="544"/>
      <c r="I1100" s="543"/>
      <c r="J1100" s="543"/>
      <c r="K1100" s="544"/>
      <c r="L1100" s="543"/>
      <c r="M1100" s="544"/>
      <c r="N1100" s="543"/>
      <c r="O1100" s="544"/>
      <c r="P1100" s="544"/>
      <c r="Q1100" s="544"/>
      <c r="R1100" s="544"/>
      <c r="S1100" s="544"/>
    </row>
    <row r="1101" ht="14.25" customHeight="1">
      <c r="A1101" s="542"/>
      <c r="B1101" s="543"/>
      <c r="C1101" s="543"/>
      <c r="D1101" s="544"/>
      <c r="E1101" s="544"/>
      <c r="F1101" s="544"/>
      <c r="G1101" s="544"/>
      <c r="H1101" s="544"/>
      <c r="I1101" s="543"/>
      <c r="J1101" s="543"/>
      <c r="K1101" s="544"/>
      <c r="L1101" s="543"/>
      <c r="M1101" s="544"/>
      <c r="N1101" s="543"/>
      <c r="O1101" s="544"/>
      <c r="P1101" s="544"/>
      <c r="Q1101" s="544"/>
      <c r="R1101" s="544"/>
      <c r="S1101" s="544"/>
    </row>
    <row r="1102" ht="14.25" customHeight="1">
      <c r="A1102" s="542"/>
      <c r="B1102" s="543"/>
      <c r="C1102" s="543"/>
      <c r="D1102" s="544"/>
      <c r="E1102" s="544"/>
      <c r="F1102" s="544"/>
      <c r="G1102" s="544"/>
      <c r="H1102" s="544"/>
      <c r="I1102" s="543"/>
      <c r="J1102" s="543"/>
      <c r="K1102" s="544"/>
      <c r="L1102" s="543"/>
      <c r="M1102" s="544"/>
      <c r="N1102" s="543"/>
      <c r="O1102" s="544"/>
      <c r="P1102" s="544"/>
      <c r="Q1102" s="544"/>
      <c r="R1102" s="544"/>
      <c r="S1102" s="544"/>
    </row>
    <row r="1103" ht="14.25" customHeight="1">
      <c r="A1103" s="542"/>
      <c r="B1103" s="543"/>
      <c r="C1103" s="543"/>
      <c r="D1103" s="544"/>
      <c r="E1103" s="544"/>
      <c r="F1103" s="544"/>
      <c r="G1103" s="544"/>
      <c r="H1103" s="544"/>
      <c r="I1103" s="543"/>
      <c r="J1103" s="543"/>
      <c r="K1103" s="544"/>
      <c r="L1103" s="543"/>
      <c r="M1103" s="544"/>
      <c r="N1103" s="543"/>
      <c r="O1103" s="544"/>
      <c r="P1103" s="544"/>
      <c r="Q1103" s="544"/>
      <c r="R1103" s="544"/>
      <c r="S1103" s="544"/>
    </row>
    <row r="1104" ht="14.25" customHeight="1">
      <c r="A1104" s="542"/>
      <c r="B1104" s="543"/>
      <c r="C1104" s="543"/>
      <c r="D1104" s="544"/>
      <c r="E1104" s="544"/>
      <c r="F1104" s="544"/>
      <c r="G1104" s="544"/>
      <c r="H1104" s="544"/>
      <c r="I1104" s="543"/>
      <c r="J1104" s="543"/>
      <c r="K1104" s="544"/>
      <c r="L1104" s="543"/>
      <c r="M1104" s="544"/>
      <c r="N1104" s="543"/>
      <c r="O1104" s="544"/>
      <c r="P1104" s="544"/>
      <c r="Q1104" s="544"/>
      <c r="R1104" s="544"/>
      <c r="S1104" s="544"/>
    </row>
    <row r="1105" ht="14.25" customHeight="1">
      <c r="A1105" s="542"/>
      <c r="B1105" s="543"/>
      <c r="C1105" s="543"/>
      <c r="D1105" s="544"/>
      <c r="E1105" s="544"/>
      <c r="F1105" s="544"/>
      <c r="G1105" s="544"/>
      <c r="H1105" s="544"/>
      <c r="I1105" s="543"/>
      <c r="J1105" s="543"/>
      <c r="K1105" s="544"/>
      <c r="L1105" s="543"/>
      <c r="M1105" s="544"/>
      <c r="N1105" s="543"/>
      <c r="O1105" s="544"/>
      <c r="P1105" s="544"/>
      <c r="Q1105" s="544"/>
      <c r="R1105" s="544"/>
      <c r="S1105" s="544"/>
    </row>
    <row r="1106" ht="14.25" customHeight="1">
      <c r="A1106" s="542"/>
      <c r="B1106" s="543"/>
      <c r="C1106" s="543"/>
      <c r="D1106" s="544"/>
      <c r="E1106" s="544"/>
      <c r="F1106" s="544"/>
      <c r="G1106" s="544"/>
      <c r="H1106" s="544"/>
      <c r="I1106" s="543"/>
      <c r="J1106" s="543"/>
      <c r="K1106" s="544"/>
      <c r="L1106" s="543"/>
      <c r="M1106" s="544"/>
      <c r="N1106" s="543"/>
      <c r="O1106" s="544"/>
      <c r="P1106" s="544"/>
      <c r="Q1106" s="544"/>
      <c r="R1106" s="544"/>
      <c r="S1106" s="544"/>
    </row>
    <row r="1107" ht="14.25" customHeight="1">
      <c r="A1107" s="542"/>
      <c r="B1107" s="543"/>
      <c r="C1107" s="543"/>
      <c r="D1107" s="544"/>
      <c r="E1107" s="544"/>
      <c r="F1107" s="544"/>
      <c r="G1107" s="544"/>
      <c r="H1107" s="544"/>
      <c r="I1107" s="543"/>
      <c r="J1107" s="543"/>
      <c r="K1107" s="544"/>
      <c r="L1107" s="543"/>
      <c r="M1107" s="544"/>
      <c r="N1107" s="543"/>
      <c r="O1107" s="544"/>
      <c r="P1107" s="544"/>
      <c r="Q1107" s="544"/>
      <c r="R1107" s="544"/>
      <c r="S1107" s="544"/>
    </row>
    <row r="1108" ht="14.25" customHeight="1">
      <c r="A1108" s="542"/>
      <c r="B1108" s="543"/>
      <c r="C1108" s="543"/>
      <c r="D1108" s="544"/>
      <c r="E1108" s="544"/>
      <c r="F1108" s="544"/>
      <c r="G1108" s="544"/>
      <c r="H1108" s="544"/>
      <c r="I1108" s="543"/>
      <c r="J1108" s="543"/>
      <c r="K1108" s="544"/>
      <c r="L1108" s="543"/>
      <c r="M1108" s="544"/>
      <c r="N1108" s="543"/>
      <c r="O1108" s="544"/>
      <c r="P1108" s="544"/>
      <c r="Q1108" s="544"/>
      <c r="R1108" s="544"/>
      <c r="S1108" s="544"/>
    </row>
    <row r="1109" ht="14.25" customHeight="1">
      <c r="A1109" s="542"/>
      <c r="B1109" s="543"/>
      <c r="C1109" s="543"/>
      <c r="D1109" s="544"/>
      <c r="E1109" s="544"/>
      <c r="F1109" s="544"/>
      <c r="G1109" s="544"/>
      <c r="H1109" s="544"/>
      <c r="I1109" s="543"/>
      <c r="J1109" s="543"/>
      <c r="K1109" s="544"/>
      <c r="L1109" s="543"/>
      <c r="M1109" s="544"/>
      <c r="N1109" s="543"/>
      <c r="O1109" s="544"/>
      <c r="P1109" s="544"/>
      <c r="Q1109" s="544"/>
      <c r="R1109" s="544"/>
      <c r="S1109" s="544"/>
    </row>
    <row r="1110" ht="14.25" customHeight="1">
      <c r="A1110" s="542"/>
      <c r="B1110" s="543"/>
      <c r="C1110" s="543"/>
      <c r="D1110" s="544"/>
      <c r="E1110" s="544"/>
      <c r="F1110" s="544"/>
      <c r="G1110" s="544"/>
      <c r="H1110" s="544"/>
      <c r="I1110" s="543"/>
      <c r="J1110" s="543"/>
      <c r="K1110" s="544"/>
      <c r="L1110" s="543"/>
      <c r="M1110" s="544"/>
      <c r="N1110" s="543"/>
      <c r="O1110" s="544"/>
      <c r="P1110" s="544"/>
      <c r="Q1110" s="544"/>
      <c r="R1110" s="544"/>
      <c r="S1110" s="544"/>
    </row>
    <row r="1111" ht="14.25" customHeight="1">
      <c r="A1111" s="542"/>
      <c r="B1111" s="543"/>
      <c r="C1111" s="543"/>
      <c r="D1111" s="544"/>
      <c r="E1111" s="544"/>
      <c r="F1111" s="544"/>
      <c r="G1111" s="544"/>
      <c r="H1111" s="544"/>
      <c r="I1111" s="543"/>
      <c r="J1111" s="543"/>
      <c r="K1111" s="544"/>
      <c r="L1111" s="543"/>
      <c r="M1111" s="544"/>
      <c r="N1111" s="543"/>
      <c r="O1111" s="544"/>
      <c r="P1111" s="544"/>
      <c r="Q1111" s="544"/>
      <c r="R1111" s="544"/>
      <c r="S1111" s="544"/>
    </row>
    <row r="1112" ht="14.25" customHeight="1">
      <c r="A1112" s="542"/>
      <c r="B1112" s="543"/>
      <c r="C1112" s="543"/>
      <c r="D1112" s="544"/>
      <c r="E1112" s="544"/>
      <c r="F1112" s="544"/>
      <c r="G1112" s="544"/>
      <c r="H1112" s="544"/>
      <c r="I1112" s="543"/>
      <c r="J1112" s="543"/>
      <c r="K1112" s="544"/>
      <c r="L1112" s="543"/>
      <c r="M1112" s="544"/>
      <c r="N1112" s="543"/>
      <c r="O1112" s="544"/>
      <c r="P1112" s="544"/>
      <c r="Q1112" s="544"/>
      <c r="R1112" s="544"/>
      <c r="S1112" s="544"/>
    </row>
    <row r="1113" ht="14.25" customHeight="1">
      <c r="A1113" s="542"/>
      <c r="B1113" s="543"/>
      <c r="C1113" s="543"/>
      <c r="D1113" s="544"/>
      <c r="E1113" s="544"/>
      <c r="F1113" s="544"/>
      <c r="G1113" s="544"/>
      <c r="H1113" s="544"/>
      <c r="I1113" s="543"/>
      <c r="J1113" s="543"/>
      <c r="K1113" s="544"/>
      <c r="L1113" s="543"/>
      <c r="M1113" s="544"/>
      <c r="N1113" s="543"/>
      <c r="O1113" s="544"/>
      <c r="P1113" s="544"/>
      <c r="Q1113" s="544"/>
      <c r="R1113" s="544"/>
      <c r="S1113" s="544"/>
    </row>
    <row r="1114" ht="14.25" customHeight="1">
      <c r="A1114" s="542"/>
      <c r="B1114" s="543"/>
      <c r="C1114" s="543"/>
      <c r="D1114" s="544"/>
      <c r="E1114" s="544"/>
      <c r="F1114" s="544"/>
      <c r="G1114" s="544"/>
      <c r="H1114" s="544"/>
      <c r="I1114" s="543"/>
      <c r="J1114" s="543"/>
      <c r="K1114" s="544"/>
      <c r="L1114" s="543"/>
      <c r="M1114" s="544"/>
      <c r="N1114" s="543"/>
      <c r="O1114" s="544"/>
      <c r="P1114" s="544"/>
      <c r="Q1114" s="544"/>
      <c r="R1114" s="544"/>
      <c r="S1114" s="544"/>
    </row>
    <row r="1115" ht="14.25" customHeight="1">
      <c r="A1115" s="542"/>
      <c r="B1115" s="543"/>
      <c r="C1115" s="543"/>
      <c r="D1115" s="544"/>
      <c r="E1115" s="544"/>
      <c r="F1115" s="544"/>
      <c r="G1115" s="544"/>
      <c r="H1115" s="544"/>
      <c r="I1115" s="543"/>
      <c r="J1115" s="543"/>
      <c r="K1115" s="544"/>
      <c r="L1115" s="543"/>
      <c r="M1115" s="544"/>
      <c r="N1115" s="543"/>
      <c r="O1115" s="544"/>
      <c r="P1115" s="544"/>
      <c r="Q1115" s="544"/>
      <c r="R1115" s="544"/>
      <c r="S1115" s="544"/>
    </row>
    <row r="1116" ht="14.25" customHeight="1">
      <c r="A1116" s="542"/>
      <c r="B1116" s="543"/>
      <c r="C1116" s="543"/>
      <c r="D1116" s="544"/>
      <c r="E1116" s="544"/>
      <c r="F1116" s="544"/>
      <c r="G1116" s="544"/>
      <c r="H1116" s="544"/>
      <c r="I1116" s="543"/>
      <c r="J1116" s="543"/>
      <c r="K1116" s="544"/>
      <c r="L1116" s="543"/>
      <c r="M1116" s="544"/>
      <c r="N1116" s="543"/>
      <c r="O1116" s="544"/>
      <c r="P1116" s="544"/>
      <c r="Q1116" s="544"/>
      <c r="R1116" s="544"/>
      <c r="S1116" s="544"/>
    </row>
    <row r="1117" ht="14.25" customHeight="1">
      <c r="A1117" s="542"/>
      <c r="B1117" s="543"/>
      <c r="C1117" s="543"/>
      <c r="D1117" s="544"/>
      <c r="E1117" s="544"/>
      <c r="F1117" s="544"/>
      <c r="G1117" s="544"/>
      <c r="H1117" s="544"/>
      <c r="I1117" s="543"/>
      <c r="J1117" s="543"/>
      <c r="K1117" s="544"/>
      <c r="L1117" s="543"/>
      <c r="M1117" s="544"/>
      <c r="N1117" s="543"/>
      <c r="O1117" s="544"/>
      <c r="P1117" s="544"/>
      <c r="Q1117" s="544"/>
      <c r="R1117" s="544"/>
      <c r="S1117" s="544"/>
    </row>
    <row r="1118" ht="14.25" customHeight="1">
      <c r="A1118" s="542"/>
      <c r="B1118" s="543"/>
      <c r="C1118" s="543"/>
      <c r="D1118" s="544"/>
      <c r="E1118" s="544"/>
      <c r="F1118" s="544"/>
      <c r="G1118" s="544"/>
      <c r="H1118" s="544"/>
      <c r="I1118" s="543"/>
      <c r="J1118" s="543"/>
      <c r="K1118" s="544"/>
      <c r="L1118" s="543"/>
      <c r="M1118" s="544"/>
      <c r="N1118" s="543"/>
      <c r="O1118" s="544"/>
      <c r="P1118" s="544"/>
      <c r="Q1118" s="544"/>
      <c r="R1118" s="544"/>
      <c r="S1118" s="544"/>
    </row>
    <row r="1119" ht="14.25" customHeight="1">
      <c r="A1119" s="542"/>
      <c r="B1119" s="543"/>
      <c r="C1119" s="543"/>
      <c r="D1119" s="544"/>
      <c r="E1119" s="544"/>
      <c r="F1119" s="544"/>
      <c r="G1119" s="544"/>
      <c r="H1119" s="544"/>
      <c r="I1119" s="543"/>
      <c r="J1119" s="543"/>
      <c r="K1119" s="544"/>
      <c r="L1119" s="543"/>
      <c r="M1119" s="544"/>
      <c r="N1119" s="543"/>
      <c r="O1119" s="544"/>
      <c r="P1119" s="544"/>
      <c r="Q1119" s="544"/>
      <c r="R1119" s="544"/>
      <c r="S1119" s="544"/>
    </row>
    <row r="1120" ht="14.25" customHeight="1">
      <c r="A1120" s="542"/>
      <c r="B1120" s="543"/>
      <c r="C1120" s="543"/>
      <c r="D1120" s="544"/>
      <c r="E1120" s="544"/>
      <c r="F1120" s="544"/>
      <c r="G1120" s="544"/>
      <c r="H1120" s="544"/>
      <c r="I1120" s="543"/>
      <c r="J1120" s="543"/>
      <c r="K1120" s="544"/>
      <c r="L1120" s="543"/>
      <c r="M1120" s="544"/>
      <c r="N1120" s="543"/>
      <c r="O1120" s="544"/>
      <c r="P1120" s="544"/>
      <c r="Q1120" s="544"/>
      <c r="R1120" s="544"/>
      <c r="S1120" s="544"/>
    </row>
    <row r="1121" ht="14.25" customHeight="1">
      <c r="A1121" s="542"/>
      <c r="B1121" s="543"/>
      <c r="C1121" s="543"/>
      <c r="D1121" s="544"/>
      <c r="E1121" s="544"/>
      <c r="F1121" s="544"/>
      <c r="G1121" s="544"/>
      <c r="H1121" s="544"/>
      <c r="I1121" s="543"/>
      <c r="J1121" s="543"/>
      <c r="K1121" s="544"/>
      <c r="L1121" s="543"/>
      <c r="M1121" s="544"/>
      <c r="N1121" s="543"/>
      <c r="O1121" s="544"/>
      <c r="P1121" s="544"/>
      <c r="Q1121" s="544"/>
      <c r="R1121" s="544"/>
      <c r="S1121" s="544"/>
    </row>
    <row r="1122" ht="14.25" customHeight="1">
      <c r="A1122" s="542"/>
      <c r="B1122" s="543"/>
      <c r="C1122" s="543"/>
      <c r="D1122" s="544"/>
      <c r="E1122" s="544"/>
      <c r="F1122" s="544"/>
      <c r="G1122" s="544"/>
      <c r="H1122" s="544"/>
      <c r="I1122" s="543"/>
      <c r="J1122" s="543"/>
      <c r="K1122" s="544"/>
      <c r="L1122" s="543"/>
      <c r="M1122" s="544"/>
      <c r="N1122" s="543"/>
      <c r="O1122" s="544"/>
      <c r="P1122" s="544"/>
      <c r="Q1122" s="544"/>
      <c r="R1122" s="544"/>
      <c r="S1122" s="544"/>
    </row>
    <row r="1123" ht="14.25" customHeight="1">
      <c r="A1123" s="542"/>
      <c r="B1123" s="543"/>
      <c r="C1123" s="543"/>
      <c r="D1123" s="544"/>
      <c r="E1123" s="544"/>
      <c r="F1123" s="544"/>
      <c r="G1123" s="544"/>
      <c r="H1123" s="544"/>
      <c r="I1123" s="543"/>
      <c r="J1123" s="543"/>
      <c r="K1123" s="544"/>
      <c r="L1123" s="543"/>
      <c r="M1123" s="544"/>
      <c r="N1123" s="543"/>
      <c r="O1123" s="544"/>
      <c r="P1123" s="544"/>
      <c r="Q1123" s="544"/>
      <c r="R1123" s="544"/>
      <c r="S1123" s="544"/>
    </row>
    <row r="1124" ht="14.25" customHeight="1">
      <c r="A1124" s="542"/>
      <c r="B1124" s="543"/>
      <c r="C1124" s="543"/>
      <c r="D1124" s="544"/>
      <c r="E1124" s="544"/>
      <c r="F1124" s="544"/>
      <c r="G1124" s="544"/>
      <c r="H1124" s="544"/>
      <c r="I1124" s="543"/>
      <c r="J1124" s="543"/>
      <c r="K1124" s="544"/>
      <c r="L1124" s="543"/>
      <c r="M1124" s="544"/>
      <c r="N1124" s="543"/>
      <c r="O1124" s="544"/>
      <c r="P1124" s="544"/>
      <c r="Q1124" s="544"/>
      <c r="R1124" s="544"/>
      <c r="S1124" s="544"/>
    </row>
    <row r="1125" ht="14.25" customHeight="1">
      <c r="A1125" s="542"/>
      <c r="B1125" s="543"/>
      <c r="C1125" s="543"/>
      <c r="D1125" s="544"/>
      <c r="E1125" s="544"/>
      <c r="F1125" s="544"/>
      <c r="G1125" s="544"/>
      <c r="H1125" s="544"/>
      <c r="I1125" s="543"/>
      <c r="J1125" s="543"/>
      <c r="K1125" s="544"/>
      <c r="L1125" s="543"/>
      <c r="M1125" s="544"/>
      <c r="N1125" s="543"/>
      <c r="O1125" s="544"/>
      <c r="P1125" s="544"/>
      <c r="Q1125" s="544"/>
      <c r="R1125" s="544"/>
      <c r="S1125" s="544"/>
    </row>
    <row r="1126" ht="14.25" customHeight="1">
      <c r="A1126" s="542"/>
      <c r="B1126" s="543"/>
      <c r="C1126" s="543"/>
      <c r="D1126" s="544"/>
      <c r="E1126" s="544"/>
      <c r="F1126" s="544"/>
      <c r="G1126" s="544"/>
      <c r="H1126" s="544"/>
      <c r="I1126" s="543"/>
      <c r="J1126" s="543"/>
      <c r="K1126" s="544"/>
      <c r="L1126" s="543"/>
      <c r="M1126" s="544"/>
      <c r="N1126" s="543"/>
      <c r="O1126" s="544"/>
      <c r="P1126" s="544"/>
      <c r="Q1126" s="544"/>
      <c r="R1126" s="544"/>
      <c r="S1126" s="544"/>
    </row>
    <row r="1127" ht="14.25" customHeight="1">
      <c r="A1127" s="542"/>
      <c r="B1127" s="543"/>
      <c r="C1127" s="543"/>
      <c r="D1127" s="544"/>
      <c r="E1127" s="544"/>
      <c r="F1127" s="544"/>
      <c r="G1127" s="544"/>
      <c r="H1127" s="544"/>
      <c r="I1127" s="543"/>
      <c r="J1127" s="543"/>
      <c r="K1127" s="544"/>
      <c r="L1127" s="543"/>
      <c r="M1127" s="544"/>
      <c r="N1127" s="543"/>
      <c r="O1127" s="544"/>
      <c r="P1127" s="544"/>
      <c r="Q1127" s="544"/>
      <c r="R1127" s="544"/>
      <c r="S1127" s="544"/>
    </row>
    <row r="1128" ht="14.25" customHeight="1">
      <c r="A1128" s="542"/>
      <c r="B1128" s="543"/>
      <c r="C1128" s="543"/>
      <c r="D1128" s="544"/>
      <c r="E1128" s="544"/>
      <c r="F1128" s="544"/>
      <c r="G1128" s="544"/>
      <c r="H1128" s="544"/>
      <c r="I1128" s="543"/>
      <c r="J1128" s="543"/>
      <c r="K1128" s="544"/>
      <c r="L1128" s="543"/>
      <c r="M1128" s="544"/>
      <c r="N1128" s="543"/>
      <c r="O1128" s="544"/>
      <c r="P1128" s="544"/>
      <c r="Q1128" s="544"/>
      <c r="R1128" s="544"/>
      <c r="S1128" s="544"/>
    </row>
    <row r="1129" ht="14.25" customHeight="1">
      <c r="A1129" s="542"/>
      <c r="B1129" s="543"/>
      <c r="C1129" s="543"/>
      <c r="D1129" s="544"/>
      <c r="E1129" s="544"/>
      <c r="F1129" s="544"/>
      <c r="G1129" s="544"/>
      <c r="H1129" s="544"/>
      <c r="I1129" s="543"/>
      <c r="J1129" s="543"/>
      <c r="K1129" s="544"/>
      <c r="L1129" s="543"/>
      <c r="M1129" s="544"/>
      <c r="N1129" s="543"/>
      <c r="O1129" s="544"/>
      <c r="P1129" s="544"/>
      <c r="Q1129" s="544"/>
      <c r="R1129" s="544"/>
      <c r="S1129" s="544"/>
    </row>
    <row r="1130" ht="14.25" customHeight="1">
      <c r="A1130" s="542"/>
      <c r="B1130" s="543"/>
      <c r="C1130" s="543"/>
      <c r="D1130" s="544"/>
      <c r="E1130" s="544"/>
      <c r="F1130" s="544"/>
      <c r="G1130" s="544"/>
      <c r="H1130" s="544"/>
      <c r="I1130" s="543"/>
      <c r="J1130" s="543"/>
      <c r="K1130" s="544"/>
      <c r="L1130" s="543"/>
      <c r="M1130" s="544"/>
      <c r="N1130" s="543"/>
      <c r="O1130" s="544"/>
      <c r="P1130" s="544"/>
      <c r="Q1130" s="544"/>
      <c r="R1130" s="544"/>
      <c r="S1130" s="544"/>
    </row>
    <row r="1131" ht="14.25" customHeight="1">
      <c r="A1131" s="542"/>
      <c r="B1131" s="543"/>
      <c r="C1131" s="543"/>
      <c r="D1131" s="544"/>
      <c r="E1131" s="544"/>
      <c r="F1131" s="544"/>
      <c r="G1131" s="544"/>
      <c r="H1131" s="544"/>
      <c r="I1131" s="543"/>
      <c r="J1131" s="543"/>
      <c r="K1131" s="544"/>
      <c r="L1131" s="543"/>
      <c r="M1131" s="544"/>
      <c r="N1131" s="543"/>
      <c r="O1131" s="544"/>
      <c r="P1131" s="544"/>
      <c r="Q1131" s="544"/>
      <c r="R1131" s="544"/>
      <c r="S1131" s="544"/>
    </row>
    <row r="1132" ht="14.25" customHeight="1">
      <c r="A1132" s="542"/>
      <c r="B1132" s="543"/>
      <c r="C1132" s="543"/>
      <c r="D1132" s="544"/>
      <c r="E1132" s="544"/>
      <c r="F1132" s="544"/>
      <c r="G1132" s="544"/>
      <c r="H1132" s="544"/>
      <c r="I1132" s="543"/>
      <c r="J1132" s="543"/>
      <c r="K1132" s="544"/>
      <c r="L1132" s="543"/>
      <c r="M1132" s="544"/>
      <c r="N1132" s="543"/>
      <c r="O1132" s="544"/>
      <c r="P1132" s="544"/>
      <c r="Q1132" s="544"/>
      <c r="R1132" s="544"/>
      <c r="S1132" s="544"/>
    </row>
    <row r="1133" ht="14.25" customHeight="1">
      <c r="A1133" s="542"/>
      <c r="B1133" s="543"/>
      <c r="C1133" s="543"/>
      <c r="D1133" s="544"/>
      <c r="E1133" s="544"/>
      <c r="F1133" s="544"/>
      <c r="G1133" s="544"/>
      <c r="H1133" s="544"/>
      <c r="I1133" s="543"/>
      <c r="J1133" s="543"/>
      <c r="K1133" s="544"/>
      <c r="L1133" s="543"/>
      <c r="M1133" s="544"/>
      <c r="N1133" s="543"/>
      <c r="O1133" s="544"/>
      <c r="P1133" s="544"/>
      <c r="Q1133" s="544"/>
      <c r="R1133" s="544"/>
      <c r="S1133" s="544"/>
    </row>
    <row r="1134" ht="14.25" customHeight="1">
      <c r="A1134" s="542"/>
      <c r="B1134" s="543"/>
      <c r="C1134" s="543"/>
      <c r="D1134" s="544"/>
      <c r="E1134" s="544"/>
      <c r="F1134" s="544"/>
      <c r="G1134" s="544"/>
      <c r="H1134" s="544"/>
      <c r="I1134" s="543"/>
      <c r="J1134" s="543"/>
      <c r="K1134" s="544"/>
      <c r="L1134" s="543"/>
      <c r="M1134" s="544"/>
      <c r="N1134" s="543"/>
      <c r="O1134" s="544"/>
      <c r="P1134" s="544"/>
      <c r="Q1134" s="544"/>
      <c r="R1134" s="544"/>
      <c r="S1134" s="544"/>
    </row>
    <row r="1135" ht="14.25" customHeight="1">
      <c r="A1135" s="542"/>
      <c r="B1135" s="543"/>
      <c r="C1135" s="543"/>
      <c r="D1135" s="544"/>
      <c r="E1135" s="544"/>
      <c r="F1135" s="544"/>
      <c r="G1135" s="544"/>
      <c r="H1135" s="544"/>
      <c r="I1135" s="543"/>
      <c r="J1135" s="543"/>
      <c r="K1135" s="544"/>
      <c r="L1135" s="543"/>
      <c r="M1135" s="544"/>
      <c r="N1135" s="543"/>
      <c r="O1135" s="544"/>
      <c r="P1135" s="544"/>
      <c r="Q1135" s="544"/>
      <c r="R1135" s="544"/>
      <c r="S1135" s="544"/>
    </row>
    <row r="1136" ht="14.25" customHeight="1">
      <c r="A1136" s="542"/>
      <c r="B1136" s="543"/>
      <c r="C1136" s="543"/>
      <c r="D1136" s="544"/>
      <c r="E1136" s="544"/>
      <c r="F1136" s="544"/>
      <c r="G1136" s="544"/>
      <c r="H1136" s="544"/>
      <c r="I1136" s="543"/>
      <c r="J1136" s="543"/>
      <c r="K1136" s="544"/>
      <c r="L1136" s="543"/>
      <c r="M1136" s="544"/>
      <c r="N1136" s="543"/>
      <c r="O1136" s="544"/>
      <c r="P1136" s="544"/>
      <c r="Q1136" s="544"/>
      <c r="R1136" s="544"/>
      <c r="S1136" s="544"/>
    </row>
    <row r="1137" ht="14.25" customHeight="1">
      <c r="A1137" s="542"/>
      <c r="B1137" s="543"/>
      <c r="C1137" s="543"/>
      <c r="D1137" s="544"/>
      <c r="E1137" s="544"/>
      <c r="F1137" s="544"/>
      <c r="G1137" s="544"/>
      <c r="H1137" s="544"/>
      <c r="I1137" s="543"/>
      <c r="J1137" s="543"/>
      <c r="K1137" s="544"/>
      <c r="L1137" s="543"/>
      <c r="M1137" s="544"/>
      <c r="N1137" s="543"/>
      <c r="O1137" s="544"/>
      <c r="P1137" s="544"/>
      <c r="Q1137" s="544"/>
      <c r="R1137" s="544"/>
      <c r="S1137" s="544"/>
    </row>
    <row r="1138" ht="14.25" customHeight="1">
      <c r="A1138" s="542"/>
      <c r="B1138" s="543"/>
      <c r="C1138" s="543"/>
      <c r="D1138" s="544"/>
      <c r="E1138" s="544"/>
      <c r="F1138" s="544"/>
      <c r="G1138" s="544"/>
      <c r="H1138" s="544"/>
      <c r="I1138" s="543"/>
      <c r="J1138" s="543"/>
      <c r="K1138" s="544"/>
      <c r="L1138" s="543"/>
      <c r="M1138" s="544"/>
      <c r="N1138" s="543"/>
      <c r="O1138" s="544"/>
      <c r="P1138" s="544"/>
      <c r="Q1138" s="544"/>
      <c r="R1138" s="544"/>
      <c r="S1138" s="544"/>
    </row>
    <row r="1139" ht="14.25" customHeight="1">
      <c r="A1139" s="542"/>
      <c r="B1139" s="543"/>
      <c r="C1139" s="543"/>
      <c r="D1139" s="544"/>
      <c r="E1139" s="544"/>
      <c r="F1139" s="544"/>
      <c r="G1139" s="544"/>
      <c r="H1139" s="544"/>
      <c r="I1139" s="543"/>
      <c r="J1139" s="543"/>
      <c r="K1139" s="544"/>
      <c r="L1139" s="543"/>
      <c r="M1139" s="544"/>
      <c r="N1139" s="543"/>
      <c r="O1139" s="544"/>
      <c r="P1139" s="544"/>
      <c r="Q1139" s="544"/>
      <c r="R1139" s="544"/>
      <c r="S1139" s="544"/>
    </row>
    <row r="1140" ht="14.25" customHeight="1">
      <c r="A1140" s="542"/>
      <c r="B1140" s="543"/>
      <c r="C1140" s="543"/>
      <c r="D1140" s="544"/>
      <c r="E1140" s="544"/>
      <c r="F1140" s="544"/>
      <c r="G1140" s="544"/>
      <c r="H1140" s="544"/>
      <c r="I1140" s="543"/>
      <c r="J1140" s="543"/>
      <c r="K1140" s="544"/>
      <c r="L1140" s="543"/>
      <c r="M1140" s="544"/>
      <c r="N1140" s="543"/>
      <c r="O1140" s="544"/>
      <c r="P1140" s="544"/>
      <c r="Q1140" s="544"/>
      <c r="R1140" s="544"/>
      <c r="S1140" s="544"/>
    </row>
    <row r="1141" ht="14.25" customHeight="1">
      <c r="A1141" s="542"/>
      <c r="B1141" s="543"/>
      <c r="C1141" s="543"/>
      <c r="D1141" s="544"/>
      <c r="E1141" s="544"/>
      <c r="F1141" s="544"/>
      <c r="G1141" s="544"/>
      <c r="H1141" s="544"/>
      <c r="I1141" s="543"/>
      <c r="J1141" s="543"/>
      <c r="K1141" s="544"/>
      <c r="L1141" s="543"/>
      <c r="M1141" s="544"/>
      <c r="N1141" s="543"/>
      <c r="O1141" s="544"/>
      <c r="P1141" s="544"/>
      <c r="Q1141" s="544"/>
      <c r="R1141" s="544"/>
      <c r="S1141" s="544"/>
    </row>
    <row r="1142" ht="14.25" customHeight="1">
      <c r="A1142" s="542"/>
      <c r="B1142" s="543"/>
      <c r="C1142" s="543"/>
      <c r="D1142" s="544"/>
      <c r="E1142" s="544"/>
      <c r="F1142" s="544"/>
      <c r="G1142" s="544"/>
      <c r="H1142" s="544"/>
      <c r="I1142" s="543"/>
      <c r="J1142" s="543"/>
      <c r="K1142" s="544"/>
      <c r="L1142" s="543"/>
      <c r="M1142" s="544"/>
      <c r="N1142" s="543"/>
      <c r="O1142" s="544"/>
      <c r="P1142" s="544"/>
      <c r="Q1142" s="544"/>
      <c r="R1142" s="544"/>
      <c r="S1142" s="544"/>
    </row>
    <row r="1143" ht="14.25" customHeight="1">
      <c r="A1143" s="542"/>
      <c r="B1143" s="543"/>
      <c r="C1143" s="543"/>
      <c r="D1143" s="544"/>
      <c r="E1143" s="544"/>
      <c r="F1143" s="544"/>
      <c r="G1143" s="544"/>
      <c r="H1143" s="544"/>
      <c r="I1143" s="543"/>
      <c r="J1143" s="543"/>
      <c r="K1143" s="544"/>
      <c r="L1143" s="543"/>
      <c r="M1143" s="544"/>
      <c r="N1143" s="543"/>
      <c r="O1143" s="544"/>
      <c r="P1143" s="544"/>
      <c r="Q1143" s="544"/>
      <c r="R1143" s="544"/>
      <c r="S1143" s="544"/>
    </row>
    <row r="1144" ht="14.25" customHeight="1">
      <c r="A1144" s="542"/>
      <c r="B1144" s="543"/>
      <c r="C1144" s="543"/>
      <c r="D1144" s="544"/>
      <c r="E1144" s="544"/>
      <c r="F1144" s="544"/>
      <c r="G1144" s="544"/>
      <c r="H1144" s="544"/>
      <c r="I1144" s="543"/>
      <c r="J1144" s="543"/>
      <c r="K1144" s="544"/>
      <c r="L1144" s="543"/>
      <c r="M1144" s="544"/>
      <c r="N1144" s="543"/>
      <c r="O1144" s="544"/>
      <c r="P1144" s="544"/>
      <c r="Q1144" s="544"/>
      <c r="R1144" s="544"/>
      <c r="S1144" s="544"/>
    </row>
    <row r="1145" ht="14.25" customHeight="1">
      <c r="A1145" s="542"/>
      <c r="B1145" s="543"/>
      <c r="C1145" s="543"/>
      <c r="D1145" s="544"/>
      <c r="E1145" s="544"/>
      <c r="F1145" s="544"/>
      <c r="G1145" s="544"/>
      <c r="H1145" s="544"/>
      <c r="I1145" s="543"/>
      <c r="J1145" s="543"/>
      <c r="K1145" s="544"/>
      <c r="L1145" s="543"/>
      <c r="M1145" s="544"/>
      <c r="N1145" s="543"/>
      <c r="O1145" s="544"/>
      <c r="P1145" s="544"/>
      <c r="Q1145" s="544"/>
      <c r="R1145" s="544"/>
      <c r="S1145" s="544"/>
    </row>
    <row r="1146" ht="14.25" customHeight="1">
      <c r="A1146" s="542"/>
      <c r="B1146" s="543"/>
      <c r="C1146" s="543"/>
      <c r="D1146" s="544"/>
      <c r="E1146" s="544"/>
      <c r="F1146" s="544"/>
      <c r="G1146" s="544"/>
      <c r="H1146" s="544"/>
      <c r="I1146" s="543"/>
      <c r="J1146" s="543"/>
      <c r="K1146" s="544"/>
      <c r="L1146" s="543"/>
      <c r="M1146" s="544"/>
      <c r="N1146" s="543"/>
      <c r="O1146" s="544"/>
      <c r="P1146" s="544"/>
      <c r="Q1146" s="544"/>
      <c r="R1146" s="544"/>
      <c r="S1146" s="544"/>
    </row>
    <row r="1147" ht="14.25" customHeight="1">
      <c r="A1147" s="542"/>
      <c r="B1147" s="543"/>
      <c r="C1147" s="543"/>
      <c r="D1147" s="544"/>
      <c r="E1147" s="544"/>
      <c r="F1147" s="544"/>
      <c r="G1147" s="544"/>
      <c r="H1147" s="544"/>
      <c r="I1147" s="543"/>
      <c r="J1147" s="543"/>
      <c r="K1147" s="544"/>
      <c r="L1147" s="543"/>
      <c r="M1147" s="544"/>
      <c r="N1147" s="543"/>
      <c r="O1147" s="544"/>
      <c r="P1147" s="544"/>
      <c r="Q1147" s="544"/>
      <c r="R1147" s="544"/>
      <c r="S1147" s="544"/>
    </row>
    <row r="1148" ht="14.25" customHeight="1">
      <c r="A1148" s="542"/>
      <c r="B1148" s="543"/>
      <c r="C1148" s="543"/>
      <c r="D1148" s="544"/>
      <c r="E1148" s="544"/>
      <c r="F1148" s="544"/>
      <c r="G1148" s="544"/>
      <c r="H1148" s="544"/>
      <c r="I1148" s="543"/>
      <c r="J1148" s="543"/>
      <c r="K1148" s="544"/>
      <c r="L1148" s="543"/>
      <c r="M1148" s="544"/>
      <c r="N1148" s="543"/>
      <c r="O1148" s="544"/>
      <c r="P1148" s="544"/>
      <c r="Q1148" s="544"/>
      <c r="R1148" s="544"/>
      <c r="S1148" s="544"/>
    </row>
    <row r="1149" ht="14.25" customHeight="1">
      <c r="A1149" s="542"/>
      <c r="B1149" s="543"/>
      <c r="C1149" s="543"/>
      <c r="D1149" s="544"/>
      <c r="E1149" s="544"/>
      <c r="F1149" s="544"/>
      <c r="G1149" s="544"/>
      <c r="H1149" s="544"/>
      <c r="I1149" s="543"/>
      <c r="J1149" s="543"/>
      <c r="K1149" s="544"/>
      <c r="L1149" s="543"/>
      <c r="M1149" s="544"/>
      <c r="N1149" s="543"/>
      <c r="O1149" s="544"/>
      <c r="P1149" s="544"/>
      <c r="Q1149" s="544"/>
      <c r="R1149" s="544"/>
      <c r="S1149" s="544"/>
    </row>
    <row r="1150" ht="14.25" customHeight="1">
      <c r="A1150" s="542"/>
      <c r="B1150" s="543"/>
      <c r="C1150" s="543"/>
      <c r="D1150" s="544"/>
      <c r="E1150" s="544"/>
      <c r="F1150" s="544"/>
      <c r="G1150" s="544"/>
      <c r="H1150" s="544"/>
      <c r="I1150" s="543"/>
      <c r="J1150" s="543"/>
      <c r="K1150" s="544"/>
      <c r="L1150" s="543"/>
      <c r="M1150" s="544"/>
      <c r="N1150" s="543"/>
      <c r="O1150" s="544"/>
      <c r="P1150" s="544"/>
      <c r="Q1150" s="544"/>
      <c r="R1150" s="544"/>
      <c r="S1150" s="544"/>
    </row>
    <row r="1151" ht="14.25" customHeight="1">
      <c r="A1151" s="542"/>
      <c r="B1151" s="543"/>
      <c r="C1151" s="543"/>
      <c r="D1151" s="544"/>
      <c r="E1151" s="544"/>
      <c r="F1151" s="544"/>
      <c r="G1151" s="544"/>
      <c r="H1151" s="544"/>
      <c r="I1151" s="543"/>
      <c r="J1151" s="543"/>
      <c r="K1151" s="544"/>
      <c r="L1151" s="543"/>
      <c r="M1151" s="544"/>
      <c r="N1151" s="543"/>
      <c r="O1151" s="544"/>
      <c r="P1151" s="544"/>
      <c r="Q1151" s="544"/>
      <c r="R1151" s="544"/>
      <c r="S1151" s="544"/>
    </row>
    <row r="1152" ht="14.25" customHeight="1">
      <c r="A1152" s="542"/>
      <c r="B1152" s="543"/>
      <c r="C1152" s="543"/>
      <c r="D1152" s="544"/>
      <c r="E1152" s="544"/>
      <c r="F1152" s="544"/>
      <c r="G1152" s="544"/>
      <c r="H1152" s="544"/>
      <c r="I1152" s="543"/>
      <c r="J1152" s="543"/>
      <c r="K1152" s="544"/>
      <c r="L1152" s="543"/>
      <c r="M1152" s="544"/>
      <c r="N1152" s="543"/>
      <c r="O1152" s="544"/>
      <c r="P1152" s="544"/>
      <c r="Q1152" s="544"/>
      <c r="R1152" s="544"/>
      <c r="S1152" s="544"/>
    </row>
    <row r="1153" ht="14.25" customHeight="1">
      <c r="A1153" s="542"/>
      <c r="B1153" s="543"/>
      <c r="C1153" s="543"/>
      <c r="D1153" s="544"/>
      <c r="E1153" s="544"/>
      <c r="F1153" s="544"/>
      <c r="G1153" s="544"/>
      <c r="H1153" s="544"/>
      <c r="I1153" s="543"/>
      <c r="J1153" s="543"/>
      <c r="K1153" s="544"/>
      <c r="L1153" s="543"/>
      <c r="M1153" s="544"/>
      <c r="N1153" s="543"/>
      <c r="O1153" s="544"/>
      <c r="P1153" s="544"/>
      <c r="Q1153" s="544"/>
      <c r="R1153" s="544"/>
      <c r="S1153" s="544"/>
    </row>
    <row r="1154" ht="14.25" customHeight="1">
      <c r="A1154" s="542"/>
      <c r="B1154" s="543"/>
      <c r="C1154" s="543"/>
      <c r="D1154" s="544"/>
      <c r="E1154" s="544"/>
      <c r="F1154" s="544"/>
      <c r="G1154" s="544"/>
      <c r="H1154" s="544"/>
      <c r="I1154" s="543"/>
      <c r="J1154" s="543"/>
      <c r="K1154" s="544"/>
      <c r="L1154" s="543"/>
      <c r="M1154" s="544"/>
      <c r="N1154" s="543"/>
      <c r="O1154" s="544"/>
      <c r="P1154" s="544"/>
      <c r="Q1154" s="544"/>
      <c r="R1154" s="544"/>
      <c r="S1154" s="544"/>
    </row>
    <row r="1155" ht="14.25" customHeight="1">
      <c r="A1155" s="542"/>
      <c r="B1155" s="543"/>
      <c r="C1155" s="543"/>
      <c r="D1155" s="544"/>
      <c r="E1155" s="544"/>
      <c r="F1155" s="544"/>
      <c r="G1155" s="544"/>
      <c r="H1155" s="544"/>
      <c r="I1155" s="543"/>
      <c r="J1155" s="543"/>
      <c r="K1155" s="544"/>
      <c r="L1155" s="543"/>
      <c r="M1155" s="544"/>
      <c r="N1155" s="543"/>
      <c r="O1155" s="544"/>
      <c r="P1155" s="544"/>
      <c r="Q1155" s="544"/>
      <c r="R1155" s="544"/>
      <c r="S1155" s="544"/>
    </row>
    <row r="1156" ht="14.25" customHeight="1">
      <c r="A1156" s="542"/>
      <c r="B1156" s="543"/>
      <c r="C1156" s="543"/>
      <c r="D1156" s="544"/>
      <c r="E1156" s="544"/>
      <c r="F1156" s="544"/>
      <c r="G1156" s="544"/>
      <c r="H1156" s="544"/>
      <c r="I1156" s="543"/>
      <c r="J1156" s="543"/>
      <c r="K1156" s="544"/>
      <c r="L1156" s="543"/>
      <c r="M1156" s="544"/>
      <c r="N1156" s="543"/>
      <c r="O1156" s="544"/>
      <c r="P1156" s="544"/>
      <c r="Q1156" s="544"/>
      <c r="R1156" s="544"/>
      <c r="S1156" s="544"/>
    </row>
    <row r="1157" ht="14.25" customHeight="1">
      <c r="A1157" s="542"/>
      <c r="B1157" s="543"/>
      <c r="C1157" s="543"/>
      <c r="D1157" s="544"/>
      <c r="E1157" s="544"/>
      <c r="F1157" s="544"/>
      <c r="G1157" s="544"/>
      <c r="H1157" s="544"/>
      <c r="I1157" s="543"/>
      <c r="J1157" s="543"/>
      <c r="K1157" s="544"/>
      <c r="L1157" s="543"/>
      <c r="M1157" s="544"/>
      <c r="N1157" s="543"/>
      <c r="O1157" s="544"/>
      <c r="P1157" s="544"/>
      <c r="Q1157" s="544"/>
      <c r="R1157" s="544"/>
      <c r="S1157" s="544"/>
    </row>
    <row r="1158" ht="14.25" customHeight="1">
      <c r="A1158" s="542"/>
      <c r="B1158" s="543"/>
      <c r="C1158" s="543"/>
      <c r="D1158" s="544"/>
      <c r="E1158" s="544"/>
      <c r="F1158" s="544"/>
      <c r="G1158" s="544"/>
      <c r="H1158" s="544"/>
      <c r="I1158" s="543"/>
      <c r="J1158" s="543"/>
      <c r="K1158" s="544"/>
      <c r="L1158" s="543"/>
      <c r="M1158" s="544"/>
      <c r="N1158" s="543"/>
      <c r="O1158" s="544"/>
      <c r="P1158" s="544"/>
      <c r="Q1158" s="544"/>
      <c r="R1158" s="544"/>
      <c r="S1158" s="544"/>
    </row>
    <row r="1159" ht="14.25" customHeight="1">
      <c r="A1159" s="542"/>
      <c r="B1159" s="543"/>
      <c r="C1159" s="543"/>
      <c r="D1159" s="544"/>
      <c r="E1159" s="544"/>
      <c r="F1159" s="544"/>
      <c r="G1159" s="544"/>
      <c r="H1159" s="544"/>
      <c r="I1159" s="543"/>
      <c r="J1159" s="543"/>
      <c r="K1159" s="544"/>
      <c r="L1159" s="543"/>
      <c r="M1159" s="544"/>
      <c r="N1159" s="543"/>
      <c r="O1159" s="544"/>
      <c r="P1159" s="544"/>
      <c r="Q1159" s="544"/>
      <c r="R1159" s="544"/>
      <c r="S1159" s="544"/>
    </row>
    <row r="1160" ht="14.25" customHeight="1">
      <c r="A1160" s="542"/>
      <c r="B1160" s="543"/>
      <c r="C1160" s="543"/>
      <c r="D1160" s="544"/>
      <c r="E1160" s="544"/>
      <c r="F1160" s="544"/>
      <c r="G1160" s="544"/>
      <c r="H1160" s="544"/>
      <c r="I1160" s="543"/>
      <c r="J1160" s="543"/>
      <c r="K1160" s="544"/>
      <c r="L1160" s="543"/>
      <c r="M1160" s="544"/>
      <c r="N1160" s="543"/>
      <c r="O1160" s="544"/>
      <c r="P1160" s="544"/>
      <c r="Q1160" s="544"/>
      <c r="R1160" s="544"/>
      <c r="S1160" s="544"/>
    </row>
    <row r="1161" ht="14.25" customHeight="1">
      <c r="A1161" s="542"/>
      <c r="B1161" s="543"/>
      <c r="C1161" s="543"/>
      <c r="D1161" s="544"/>
      <c r="E1161" s="544"/>
      <c r="F1161" s="544"/>
      <c r="G1161" s="544"/>
      <c r="H1161" s="544"/>
      <c r="I1161" s="543"/>
      <c r="J1161" s="543"/>
      <c r="K1161" s="544"/>
      <c r="L1161" s="543"/>
      <c r="M1161" s="544"/>
      <c r="N1161" s="543"/>
      <c r="O1161" s="544"/>
      <c r="P1161" s="544"/>
      <c r="Q1161" s="544"/>
      <c r="R1161" s="544"/>
      <c r="S1161" s="544"/>
    </row>
    <row r="1162" ht="14.25" customHeight="1">
      <c r="A1162" s="542"/>
      <c r="B1162" s="543"/>
      <c r="C1162" s="543"/>
      <c r="D1162" s="544"/>
      <c r="E1162" s="544"/>
      <c r="F1162" s="544"/>
      <c r="G1162" s="544"/>
      <c r="H1162" s="544"/>
      <c r="I1162" s="543"/>
      <c r="J1162" s="543"/>
      <c r="K1162" s="544"/>
      <c r="L1162" s="543"/>
      <c r="M1162" s="544"/>
      <c r="N1162" s="543"/>
      <c r="O1162" s="544"/>
      <c r="P1162" s="544"/>
      <c r="Q1162" s="544"/>
      <c r="R1162" s="544"/>
      <c r="S1162" s="544"/>
    </row>
    <row r="1163" ht="14.25" customHeight="1">
      <c r="A1163" s="542"/>
      <c r="B1163" s="543"/>
      <c r="C1163" s="543"/>
      <c r="D1163" s="544"/>
      <c r="E1163" s="544"/>
      <c r="F1163" s="544"/>
      <c r="G1163" s="544"/>
      <c r="H1163" s="544"/>
      <c r="I1163" s="543"/>
      <c r="J1163" s="543"/>
      <c r="K1163" s="544"/>
      <c r="L1163" s="543"/>
      <c r="M1163" s="544"/>
      <c r="N1163" s="543"/>
      <c r="O1163" s="544"/>
      <c r="P1163" s="544"/>
      <c r="Q1163" s="544"/>
      <c r="R1163" s="544"/>
      <c r="S1163" s="544"/>
    </row>
    <row r="1164" ht="14.25" customHeight="1">
      <c r="A1164" s="542"/>
      <c r="B1164" s="543"/>
      <c r="C1164" s="543"/>
      <c r="D1164" s="544"/>
      <c r="E1164" s="544"/>
      <c r="F1164" s="544"/>
      <c r="G1164" s="544"/>
      <c r="H1164" s="544"/>
      <c r="I1164" s="543"/>
      <c r="J1164" s="543"/>
      <c r="K1164" s="544"/>
      <c r="L1164" s="543"/>
      <c r="M1164" s="544"/>
      <c r="N1164" s="543"/>
      <c r="O1164" s="544"/>
      <c r="P1164" s="544"/>
      <c r="Q1164" s="544"/>
      <c r="R1164" s="544"/>
      <c r="S1164" s="544"/>
    </row>
    <row r="1165" ht="14.25" customHeight="1">
      <c r="A1165" s="542"/>
      <c r="B1165" s="543"/>
      <c r="C1165" s="543"/>
      <c r="D1165" s="544"/>
      <c r="E1165" s="544"/>
      <c r="F1165" s="544"/>
      <c r="G1165" s="544"/>
      <c r="H1165" s="544"/>
      <c r="I1165" s="543"/>
      <c r="J1165" s="543"/>
      <c r="K1165" s="544"/>
      <c r="L1165" s="543"/>
      <c r="M1165" s="544"/>
      <c r="N1165" s="543"/>
      <c r="O1165" s="544"/>
      <c r="P1165" s="544"/>
      <c r="Q1165" s="544"/>
      <c r="R1165" s="544"/>
      <c r="S1165" s="544"/>
    </row>
    <row r="1166" ht="14.25" customHeight="1">
      <c r="A1166" s="542"/>
      <c r="B1166" s="543"/>
      <c r="C1166" s="543"/>
      <c r="D1166" s="544"/>
      <c r="E1166" s="544"/>
      <c r="F1166" s="544"/>
      <c r="G1166" s="544"/>
      <c r="H1166" s="544"/>
      <c r="I1166" s="543"/>
      <c r="J1166" s="543"/>
      <c r="K1166" s="544"/>
      <c r="L1166" s="543"/>
      <c r="M1166" s="544"/>
      <c r="N1166" s="543"/>
      <c r="O1166" s="544"/>
      <c r="P1166" s="544"/>
      <c r="Q1166" s="544"/>
      <c r="R1166" s="544"/>
      <c r="S1166" s="544"/>
    </row>
    <row r="1167" ht="14.25" customHeight="1">
      <c r="A1167" s="542"/>
      <c r="B1167" s="543"/>
      <c r="C1167" s="543"/>
      <c r="D1167" s="544"/>
      <c r="E1167" s="544"/>
      <c r="F1167" s="544"/>
      <c r="G1167" s="544"/>
      <c r="H1167" s="544"/>
      <c r="I1167" s="543"/>
      <c r="J1167" s="543"/>
      <c r="K1167" s="544"/>
      <c r="L1167" s="543"/>
      <c r="M1167" s="544"/>
      <c r="N1167" s="543"/>
      <c r="O1167" s="544"/>
      <c r="P1167" s="544"/>
      <c r="Q1167" s="544"/>
      <c r="R1167" s="544"/>
      <c r="S1167" s="544"/>
    </row>
    <row r="1168" ht="14.25" customHeight="1">
      <c r="A1168" s="542"/>
      <c r="B1168" s="543"/>
      <c r="C1168" s="543"/>
      <c r="D1168" s="544"/>
      <c r="E1168" s="544"/>
      <c r="F1168" s="544"/>
      <c r="G1168" s="544"/>
      <c r="H1168" s="544"/>
      <c r="I1168" s="543"/>
      <c r="J1168" s="543"/>
      <c r="K1168" s="544"/>
      <c r="L1168" s="543"/>
      <c r="M1168" s="544"/>
      <c r="N1168" s="543"/>
      <c r="O1168" s="544"/>
      <c r="P1168" s="544"/>
      <c r="Q1168" s="544"/>
      <c r="R1168" s="544"/>
      <c r="S1168" s="544"/>
    </row>
    <row r="1169" ht="14.25" customHeight="1">
      <c r="A1169" s="542"/>
      <c r="B1169" s="543"/>
      <c r="C1169" s="543"/>
      <c r="D1169" s="544"/>
      <c r="E1169" s="544"/>
      <c r="F1169" s="544"/>
      <c r="G1169" s="544"/>
      <c r="H1169" s="544"/>
      <c r="I1169" s="543"/>
      <c r="J1169" s="543"/>
      <c r="K1169" s="544"/>
      <c r="L1169" s="543"/>
      <c r="M1169" s="544"/>
      <c r="N1169" s="543"/>
      <c r="O1169" s="544"/>
      <c r="P1169" s="544"/>
      <c r="Q1169" s="544"/>
      <c r="R1169" s="544"/>
      <c r="S1169" s="544"/>
    </row>
    <row r="1170" ht="14.25" customHeight="1">
      <c r="A1170" s="542"/>
      <c r="B1170" s="543"/>
      <c r="C1170" s="543"/>
      <c r="D1170" s="544"/>
      <c r="E1170" s="544"/>
      <c r="F1170" s="544"/>
      <c r="G1170" s="544"/>
      <c r="H1170" s="544"/>
      <c r="I1170" s="543"/>
      <c r="J1170" s="543"/>
      <c r="K1170" s="544"/>
      <c r="L1170" s="543"/>
      <c r="M1170" s="544"/>
      <c r="N1170" s="543"/>
      <c r="O1170" s="544"/>
      <c r="P1170" s="544"/>
      <c r="Q1170" s="544"/>
      <c r="R1170" s="544"/>
      <c r="S1170" s="544"/>
    </row>
    <row r="1171" ht="14.25" customHeight="1">
      <c r="A1171" s="542"/>
      <c r="B1171" s="543"/>
      <c r="C1171" s="543"/>
      <c r="D1171" s="544"/>
      <c r="E1171" s="544"/>
      <c r="F1171" s="544"/>
      <c r="G1171" s="544"/>
      <c r="H1171" s="544"/>
      <c r="I1171" s="543"/>
      <c r="J1171" s="543"/>
      <c r="K1171" s="544"/>
      <c r="L1171" s="543"/>
      <c r="M1171" s="544"/>
      <c r="N1171" s="543"/>
      <c r="O1171" s="544"/>
      <c r="P1171" s="544"/>
      <c r="Q1171" s="544"/>
      <c r="R1171" s="544"/>
      <c r="S1171" s="544"/>
    </row>
    <row r="1172" ht="14.25" customHeight="1">
      <c r="A1172" s="542"/>
      <c r="B1172" s="543"/>
      <c r="C1172" s="543"/>
      <c r="D1172" s="544"/>
      <c r="E1172" s="544"/>
      <c r="F1172" s="544"/>
      <c r="G1172" s="544"/>
      <c r="H1172" s="544"/>
      <c r="I1172" s="543"/>
      <c r="J1172" s="543"/>
      <c r="K1172" s="544"/>
      <c r="L1172" s="543"/>
      <c r="M1172" s="544"/>
      <c r="N1172" s="543"/>
      <c r="O1172" s="544"/>
      <c r="P1172" s="544"/>
      <c r="Q1172" s="544"/>
      <c r="R1172" s="544"/>
      <c r="S1172" s="544"/>
    </row>
    <row r="1173" ht="14.25" customHeight="1">
      <c r="A1173" s="542"/>
      <c r="B1173" s="543"/>
      <c r="C1173" s="543"/>
      <c r="D1173" s="544"/>
      <c r="E1173" s="544"/>
      <c r="F1173" s="544"/>
      <c r="G1173" s="544"/>
      <c r="H1173" s="544"/>
      <c r="I1173" s="543"/>
      <c r="J1173" s="543"/>
      <c r="K1173" s="544"/>
      <c r="L1173" s="543"/>
      <c r="M1173" s="544"/>
      <c r="N1173" s="543"/>
      <c r="O1173" s="544"/>
      <c r="P1173" s="544"/>
      <c r="Q1173" s="544"/>
      <c r="R1173" s="544"/>
      <c r="S1173" s="544"/>
    </row>
    <row r="1174" ht="14.25" customHeight="1">
      <c r="A1174" s="542"/>
      <c r="B1174" s="543"/>
      <c r="C1174" s="543"/>
      <c r="D1174" s="544"/>
      <c r="E1174" s="544"/>
      <c r="F1174" s="544"/>
      <c r="G1174" s="544"/>
      <c r="H1174" s="544"/>
      <c r="I1174" s="543"/>
      <c r="J1174" s="543"/>
      <c r="K1174" s="544"/>
      <c r="L1174" s="543"/>
      <c r="M1174" s="544"/>
      <c r="N1174" s="543"/>
      <c r="O1174" s="544"/>
      <c r="P1174" s="544"/>
      <c r="Q1174" s="544"/>
      <c r="R1174" s="544"/>
      <c r="S1174" s="544"/>
    </row>
    <row r="1175" ht="14.25" customHeight="1">
      <c r="A1175" s="542"/>
      <c r="B1175" s="543"/>
      <c r="C1175" s="543"/>
      <c r="D1175" s="544"/>
      <c r="E1175" s="544"/>
      <c r="F1175" s="544"/>
      <c r="G1175" s="544"/>
      <c r="H1175" s="544"/>
      <c r="I1175" s="543"/>
      <c r="J1175" s="543"/>
      <c r="K1175" s="544"/>
      <c r="L1175" s="543"/>
      <c r="M1175" s="544"/>
      <c r="N1175" s="543"/>
      <c r="O1175" s="544"/>
      <c r="P1175" s="544"/>
      <c r="Q1175" s="544"/>
      <c r="R1175" s="544"/>
      <c r="S1175" s="544"/>
    </row>
    <row r="1176" ht="14.25" customHeight="1">
      <c r="A1176" s="542"/>
      <c r="B1176" s="543"/>
      <c r="C1176" s="543"/>
      <c r="D1176" s="544"/>
      <c r="E1176" s="544"/>
      <c r="F1176" s="544"/>
      <c r="G1176" s="544"/>
      <c r="H1176" s="544"/>
      <c r="I1176" s="543"/>
      <c r="J1176" s="543"/>
      <c r="K1176" s="544"/>
      <c r="L1176" s="543"/>
      <c r="M1176" s="544"/>
      <c r="N1176" s="543"/>
      <c r="O1176" s="544"/>
      <c r="P1176" s="544"/>
      <c r="Q1176" s="544"/>
      <c r="R1176" s="544"/>
      <c r="S1176" s="544"/>
    </row>
    <row r="1177" ht="14.25" customHeight="1">
      <c r="A1177" s="542"/>
      <c r="B1177" s="543"/>
      <c r="C1177" s="543"/>
      <c r="D1177" s="544"/>
      <c r="E1177" s="544"/>
      <c r="F1177" s="544"/>
      <c r="G1177" s="544"/>
      <c r="H1177" s="544"/>
      <c r="I1177" s="543"/>
      <c r="J1177" s="543"/>
      <c r="K1177" s="544"/>
      <c r="L1177" s="543"/>
      <c r="M1177" s="544"/>
      <c r="N1177" s="543"/>
      <c r="O1177" s="544"/>
      <c r="P1177" s="544"/>
      <c r="Q1177" s="544"/>
      <c r="R1177" s="544"/>
      <c r="S1177" s="544"/>
    </row>
    <row r="1178" ht="14.25" customHeight="1">
      <c r="A1178" s="542"/>
      <c r="B1178" s="543"/>
      <c r="C1178" s="543"/>
      <c r="D1178" s="544"/>
      <c r="E1178" s="544"/>
      <c r="F1178" s="544"/>
      <c r="G1178" s="544"/>
      <c r="H1178" s="544"/>
      <c r="I1178" s="543"/>
      <c r="J1178" s="543"/>
      <c r="K1178" s="544"/>
      <c r="L1178" s="543"/>
      <c r="M1178" s="544"/>
      <c r="N1178" s="543"/>
      <c r="O1178" s="544"/>
      <c r="P1178" s="544"/>
      <c r="Q1178" s="544"/>
      <c r="R1178" s="544"/>
      <c r="S1178" s="544"/>
    </row>
    <row r="1179" ht="14.25" customHeight="1">
      <c r="A1179" s="542"/>
      <c r="B1179" s="543"/>
      <c r="C1179" s="543"/>
      <c r="D1179" s="544"/>
      <c r="E1179" s="544"/>
      <c r="F1179" s="544"/>
      <c r="G1179" s="544"/>
      <c r="H1179" s="544"/>
      <c r="I1179" s="543"/>
      <c r="J1179" s="543"/>
      <c r="K1179" s="544"/>
      <c r="L1179" s="543"/>
      <c r="M1179" s="544"/>
      <c r="N1179" s="543"/>
      <c r="O1179" s="544"/>
      <c r="P1179" s="544"/>
      <c r="Q1179" s="544"/>
      <c r="R1179" s="544"/>
      <c r="S1179" s="544"/>
    </row>
    <row r="1180" ht="14.25" customHeight="1">
      <c r="A1180" s="542"/>
      <c r="B1180" s="543"/>
      <c r="C1180" s="543"/>
      <c r="D1180" s="544"/>
      <c r="E1180" s="544"/>
      <c r="F1180" s="544"/>
      <c r="G1180" s="544"/>
      <c r="H1180" s="544"/>
      <c r="I1180" s="543"/>
      <c r="J1180" s="543"/>
      <c r="K1180" s="544"/>
      <c r="L1180" s="543"/>
      <c r="M1180" s="544"/>
      <c r="N1180" s="543"/>
      <c r="O1180" s="544"/>
      <c r="P1180" s="544"/>
      <c r="Q1180" s="544"/>
      <c r="R1180" s="544"/>
      <c r="S1180" s="544"/>
    </row>
    <row r="1181" ht="14.25" customHeight="1">
      <c r="A1181" s="542"/>
      <c r="B1181" s="543"/>
      <c r="C1181" s="543"/>
      <c r="D1181" s="544"/>
      <c r="E1181" s="544"/>
      <c r="F1181" s="544"/>
      <c r="G1181" s="544"/>
      <c r="H1181" s="544"/>
      <c r="I1181" s="543"/>
      <c r="J1181" s="543"/>
      <c r="K1181" s="544"/>
      <c r="L1181" s="543"/>
      <c r="M1181" s="544"/>
      <c r="N1181" s="543"/>
      <c r="O1181" s="544"/>
      <c r="P1181" s="544"/>
      <c r="Q1181" s="544"/>
      <c r="R1181" s="544"/>
      <c r="S1181" s="544"/>
    </row>
    <row r="1182" ht="14.25" customHeight="1">
      <c r="A1182" s="542"/>
      <c r="B1182" s="543"/>
      <c r="C1182" s="543"/>
      <c r="D1182" s="544"/>
      <c r="E1182" s="544"/>
      <c r="F1182" s="544"/>
      <c r="G1182" s="544"/>
      <c r="H1182" s="544"/>
      <c r="I1182" s="543"/>
      <c r="J1182" s="543"/>
      <c r="K1182" s="544"/>
      <c r="L1182" s="543"/>
      <c r="M1182" s="544"/>
      <c r="N1182" s="543"/>
      <c r="O1182" s="544"/>
      <c r="P1182" s="544"/>
      <c r="Q1182" s="544"/>
      <c r="R1182" s="544"/>
      <c r="S1182" s="544"/>
    </row>
    <row r="1183" ht="14.25" customHeight="1">
      <c r="A1183" s="542"/>
      <c r="B1183" s="543"/>
      <c r="C1183" s="543"/>
      <c r="D1183" s="544"/>
      <c r="E1183" s="544"/>
      <c r="F1183" s="544"/>
      <c r="G1183" s="544"/>
      <c r="H1183" s="544"/>
      <c r="I1183" s="543"/>
      <c r="J1183" s="543"/>
      <c r="K1183" s="544"/>
      <c r="L1183" s="543"/>
      <c r="M1183" s="544"/>
      <c r="N1183" s="543"/>
      <c r="O1183" s="544"/>
      <c r="P1183" s="544"/>
      <c r="Q1183" s="544"/>
      <c r="R1183" s="544"/>
      <c r="S1183" s="544"/>
    </row>
    <row r="1184" ht="14.25" customHeight="1">
      <c r="A1184" s="542"/>
      <c r="B1184" s="543"/>
      <c r="C1184" s="543"/>
      <c r="D1184" s="544"/>
      <c r="E1184" s="544"/>
      <c r="F1184" s="544"/>
      <c r="G1184" s="544"/>
      <c r="H1184" s="544"/>
      <c r="I1184" s="543"/>
      <c r="J1184" s="543"/>
      <c r="K1184" s="544"/>
      <c r="L1184" s="543"/>
      <c r="M1184" s="544"/>
      <c r="N1184" s="543"/>
      <c r="O1184" s="544"/>
      <c r="P1184" s="544"/>
      <c r="Q1184" s="544"/>
      <c r="R1184" s="544"/>
      <c r="S1184" s="544"/>
    </row>
    <row r="1185" ht="14.25" customHeight="1">
      <c r="A1185" s="542"/>
      <c r="B1185" s="543"/>
      <c r="C1185" s="543"/>
      <c r="D1185" s="544"/>
      <c r="E1185" s="544"/>
      <c r="F1185" s="544"/>
      <c r="G1185" s="544"/>
      <c r="H1185" s="544"/>
      <c r="I1185" s="543"/>
      <c r="J1185" s="543"/>
      <c r="K1185" s="544"/>
      <c r="L1185" s="543"/>
      <c r="M1185" s="544"/>
      <c r="N1185" s="543"/>
      <c r="O1185" s="544"/>
      <c r="P1185" s="544"/>
      <c r="Q1185" s="544"/>
      <c r="R1185" s="544"/>
      <c r="S1185" s="544"/>
    </row>
    <row r="1186" ht="14.25" customHeight="1">
      <c r="A1186" s="542"/>
      <c r="B1186" s="543"/>
      <c r="C1186" s="543"/>
      <c r="D1186" s="544"/>
      <c r="E1186" s="544"/>
      <c r="F1186" s="544"/>
      <c r="G1186" s="544"/>
      <c r="H1186" s="544"/>
      <c r="I1186" s="543"/>
      <c r="J1186" s="543"/>
      <c r="K1186" s="544"/>
      <c r="L1186" s="543"/>
      <c r="M1186" s="544"/>
      <c r="N1186" s="543"/>
      <c r="O1186" s="544"/>
      <c r="P1186" s="544"/>
      <c r="Q1186" s="544"/>
      <c r="R1186" s="544"/>
      <c r="S1186" s="544"/>
    </row>
    <row r="1187" ht="14.25" customHeight="1">
      <c r="A1187" s="542"/>
      <c r="B1187" s="543"/>
      <c r="C1187" s="543"/>
      <c r="D1187" s="544"/>
      <c r="E1187" s="544"/>
      <c r="F1187" s="544"/>
      <c r="G1187" s="544"/>
      <c r="H1187" s="544"/>
      <c r="I1187" s="543"/>
      <c r="J1187" s="543"/>
      <c r="K1187" s="544"/>
      <c r="L1187" s="543"/>
      <c r="M1187" s="544"/>
      <c r="N1187" s="543"/>
      <c r="O1187" s="544"/>
      <c r="P1187" s="544"/>
      <c r="Q1187" s="544"/>
      <c r="R1187" s="544"/>
      <c r="S1187" s="544"/>
    </row>
    <row r="1188" ht="14.25" customHeight="1">
      <c r="A1188" s="542"/>
      <c r="B1188" s="543"/>
      <c r="C1188" s="543"/>
      <c r="D1188" s="544"/>
      <c r="E1188" s="544"/>
      <c r="F1188" s="544"/>
      <c r="G1188" s="544"/>
      <c r="H1188" s="544"/>
      <c r="I1188" s="543"/>
      <c r="J1188" s="543"/>
      <c r="K1188" s="544"/>
      <c r="L1188" s="543"/>
      <c r="M1188" s="544"/>
      <c r="N1188" s="543"/>
      <c r="O1188" s="544"/>
      <c r="P1188" s="544"/>
      <c r="Q1188" s="544"/>
      <c r="R1188" s="544"/>
      <c r="S1188" s="544"/>
    </row>
    <row r="1189" ht="14.25" customHeight="1">
      <c r="A1189" s="542"/>
      <c r="B1189" s="543"/>
      <c r="C1189" s="543"/>
      <c r="D1189" s="544"/>
      <c r="E1189" s="544"/>
      <c r="F1189" s="544"/>
      <c r="G1189" s="544"/>
      <c r="H1189" s="544"/>
      <c r="I1189" s="543"/>
      <c r="J1189" s="543"/>
      <c r="K1189" s="544"/>
      <c r="L1189" s="543"/>
      <c r="M1189" s="544"/>
      <c r="N1189" s="543"/>
      <c r="O1189" s="544"/>
      <c r="P1189" s="544"/>
      <c r="Q1189" s="544"/>
      <c r="R1189" s="544"/>
      <c r="S1189" s="544"/>
    </row>
    <row r="1190" ht="14.25" customHeight="1">
      <c r="A1190" s="542"/>
      <c r="B1190" s="543"/>
      <c r="C1190" s="543"/>
      <c r="D1190" s="544"/>
      <c r="E1190" s="544"/>
      <c r="F1190" s="544"/>
      <c r="G1190" s="544"/>
      <c r="H1190" s="544"/>
      <c r="I1190" s="543"/>
      <c r="J1190" s="543"/>
      <c r="K1190" s="544"/>
      <c r="L1190" s="543"/>
      <c r="M1190" s="544"/>
      <c r="N1190" s="543"/>
      <c r="O1190" s="544"/>
      <c r="P1190" s="544"/>
      <c r="Q1190" s="544"/>
      <c r="R1190" s="544"/>
      <c r="S1190" s="544"/>
    </row>
    <row r="1191" ht="14.25" customHeight="1">
      <c r="A1191" s="542"/>
      <c r="B1191" s="543"/>
      <c r="C1191" s="543"/>
      <c r="D1191" s="544"/>
      <c r="E1191" s="544"/>
      <c r="F1191" s="544"/>
      <c r="G1191" s="544"/>
      <c r="H1191" s="544"/>
      <c r="I1191" s="543"/>
      <c r="J1191" s="543"/>
      <c r="K1191" s="544"/>
      <c r="L1191" s="543"/>
      <c r="M1191" s="544"/>
      <c r="N1191" s="543"/>
      <c r="O1191" s="544"/>
      <c r="P1191" s="544"/>
      <c r="Q1191" s="544"/>
      <c r="R1191" s="544"/>
      <c r="S1191" s="544"/>
    </row>
    <row r="1192" ht="14.25" customHeight="1">
      <c r="A1192" s="542"/>
      <c r="B1192" s="543"/>
      <c r="C1192" s="543"/>
      <c r="D1192" s="544"/>
      <c r="E1192" s="544"/>
      <c r="F1192" s="544"/>
      <c r="G1192" s="544"/>
      <c r="H1192" s="544"/>
      <c r="I1192" s="543"/>
      <c r="J1192" s="543"/>
      <c r="K1192" s="544"/>
      <c r="L1192" s="543"/>
      <c r="M1192" s="544"/>
      <c r="N1192" s="543"/>
      <c r="O1192" s="544"/>
      <c r="P1192" s="544"/>
      <c r="Q1192" s="544"/>
      <c r="R1192" s="544"/>
      <c r="S1192" s="544"/>
    </row>
    <row r="1193" ht="14.25" customHeight="1">
      <c r="A1193" s="542"/>
      <c r="B1193" s="543"/>
      <c r="C1193" s="543"/>
      <c r="D1193" s="544"/>
      <c r="E1193" s="544"/>
      <c r="F1193" s="544"/>
      <c r="G1193" s="544"/>
      <c r="H1193" s="544"/>
      <c r="I1193" s="543"/>
      <c r="J1193" s="543"/>
      <c r="K1193" s="544"/>
      <c r="L1193" s="543"/>
      <c r="M1193" s="544"/>
      <c r="N1193" s="543"/>
      <c r="O1193" s="544"/>
      <c r="P1193" s="544"/>
      <c r="Q1193" s="544"/>
      <c r="R1193" s="544"/>
      <c r="S1193" s="544"/>
    </row>
    <row r="1194" ht="14.25" customHeight="1">
      <c r="A1194" s="542"/>
      <c r="B1194" s="543"/>
      <c r="C1194" s="543"/>
      <c r="D1194" s="544"/>
      <c r="E1194" s="544"/>
      <c r="F1194" s="544"/>
      <c r="G1194" s="544"/>
      <c r="H1194" s="544"/>
      <c r="I1194" s="543"/>
      <c r="J1194" s="543"/>
      <c r="K1194" s="544"/>
      <c r="L1194" s="543"/>
      <c r="M1194" s="544"/>
      <c r="N1194" s="543"/>
      <c r="O1194" s="544"/>
      <c r="P1194" s="544"/>
      <c r="Q1194" s="544"/>
      <c r="R1194" s="544"/>
      <c r="S1194" s="544"/>
    </row>
    <row r="1195" ht="14.25" customHeight="1">
      <c r="A1195" s="542"/>
      <c r="B1195" s="543"/>
      <c r="C1195" s="543"/>
      <c r="D1195" s="544"/>
      <c r="E1195" s="544"/>
      <c r="F1195" s="544"/>
      <c r="G1195" s="544"/>
      <c r="H1195" s="544"/>
      <c r="I1195" s="543"/>
      <c r="J1195" s="543"/>
      <c r="K1195" s="544"/>
      <c r="L1195" s="543"/>
      <c r="M1195" s="544"/>
      <c r="N1195" s="543"/>
      <c r="O1195" s="544"/>
      <c r="P1195" s="544"/>
      <c r="Q1195" s="544"/>
      <c r="R1195" s="544"/>
      <c r="S1195" s="544"/>
    </row>
    <row r="1196" ht="14.25" customHeight="1">
      <c r="A1196" s="542"/>
      <c r="B1196" s="543"/>
      <c r="C1196" s="543"/>
      <c r="D1196" s="544"/>
      <c r="E1196" s="544"/>
      <c r="F1196" s="544"/>
      <c r="G1196" s="544"/>
      <c r="H1196" s="544"/>
      <c r="I1196" s="543"/>
      <c r="J1196" s="543"/>
      <c r="K1196" s="544"/>
      <c r="L1196" s="543"/>
      <c r="M1196" s="544"/>
      <c r="N1196" s="543"/>
      <c r="O1196" s="544"/>
      <c r="P1196" s="544"/>
      <c r="Q1196" s="544"/>
      <c r="R1196" s="544"/>
      <c r="S1196" s="544"/>
    </row>
    <row r="1197" ht="14.25" customHeight="1">
      <c r="A1197" s="542"/>
      <c r="B1197" s="543"/>
      <c r="C1197" s="543"/>
      <c r="D1197" s="544"/>
      <c r="E1197" s="544"/>
      <c r="F1197" s="544"/>
      <c r="G1197" s="544"/>
      <c r="H1197" s="544"/>
      <c r="I1197" s="543"/>
      <c r="J1197" s="543"/>
      <c r="K1197" s="544"/>
      <c r="L1197" s="543"/>
      <c r="M1197" s="544"/>
      <c r="N1197" s="543"/>
      <c r="O1197" s="544"/>
      <c r="P1197" s="544"/>
      <c r="Q1197" s="544"/>
      <c r="R1197" s="544"/>
      <c r="S1197" s="544"/>
    </row>
    <row r="1198" ht="14.25" customHeight="1">
      <c r="A1198" s="542"/>
      <c r="B1198" s="543"/>
      <c r="C1198" s="543"/>
      <c r="D1198" s="544"/>
      <c r="E1198" s="544"/>
      <c r="F1198" s="544"/>
      <c r="G1198" s="544"/>
      <c r="H1198" s="544"/>
      <c r="I1198" s="543"/>
      <c r="J1198" s="543"/>
      <c r="K1198" s="544"/>
      <c r="L1198" s="543"/>
      <c r="M1198" s="544"/>
      <c r="N1198" s="543"/>
      <c r="O1198" s="544"/>
      <c r="P1198" s="544"/>
      <c r="Q1198" s="544"/>
      <c r="R1198" s="544"/>
      <c r="S1198" s="544"/>
    </row>
    <row r="1199" ht="14.25" customHeight="1">
      <c r="A1199" s="542"/>
      <c r="B1199" s="543"/>
      <c r="C1199" s="543"/>
      <c r="D1199" s="544"/>
      <c r="E1199" s="544"/>
      <c r="F1199" s="544"/>
      <c r="G1199" s="544"/>
      <c r="H1199" s="544"/>
      <c r="I1199" s="543"/>
      <c r="J1199" s="543"/>
      <c r="K1199" s="544"/>
      <c r="L1199" s="543"/>
      <c r="M1199" s="544"/>
      <c r="N1199" s="543"/>
      <c r="O1199" s="544"/>
      <c r="P1199" s="544"/>
      <c r="Q1199" s="544"/>
      <c r="R1199" s="544"/>
      <c r="S1199" s="544"/>
    </row>
    <row r="1200" ht="14.25" customHeight="1">
      <c r="A1200" s="542"/>
      <c r="B1200" s="543"/>
      <c r="C1200" s="543"/>
      <c r="D1200" s="544"/>
      <c r="E1200" s="544"/>
      <c r="F1200" s="544"/>
      <c r="G1200" s="544"/>
      <c r="H1200" s="544"/>
      <c r="I1200" s="543"/>
      <c r="J1200" s="543"/>
      <c r="K1200" s="544"/>
      <c r="L1200" s="543"/>
      <c r="M1200" s="544"/>
      <c r="N1200" s="543"/>
      <c r="O1200" s="544"/>
      <c r="P1200" s="544"/>
      <c r="Q1200" s="544"/>
      <c r="R1200" s="544"/>
      <c r="S1200" s="544"/>
    </row>
    <row r="1201" ht="14.25" customHeight="1">
      <c r="A1201" s="542"/>
      <c r="B1201" s="543"/>
      <c r="C1201" s="543"/>
      <c r="D1201" s="544"/>
      <c r="E1201" s="544"/>
      <c r="F1201" s="544"/>
      <c r="G1201" s="544"/>
      <c r="H1201" s="544"/>
      <c r="I1201" s="543"/>
      <c r="J1201" s="543"/>
      <c r="K1201" s="544"/>
      <c r="L1201" s="543"/>
      <c r="M1201" s="544"/>
      <c r="N1201" s="543"/>
      <c r="O1201" s="544"/>
      <c r="P1201" s="544"/>
      <c r="Q1201" s="544"/>
      <c r="R1201" s="544"/>
      <c r="S1201" s="544"/>
    </row>
    <row r="1202" ht="14.25" customHeight="1">
      <c r="A1202" s="542"/>
      <c r="B1202" s="543"/>
      <c r="C1202" s="543"/>
      <c r="D1202" s="544"/>
      <c r="E1202" s="544"/>
      <c r="F1202" s="544"/>
      <c r="G1202" s="544"/>
      <c r="H1202" s="544"/>
      <c r="I1202" s="543"/>
      <c r="J1202" s="543"/>
      <c r="K1202" s="544"/>
      <c r="L1202" s="543"/>
      <c r="M1202" s="544"/>
      <c r="N1202" s="543"/>
      <c r="O1202" s="544"/>
      <c r="P1202" s="544"/>
      <c r="Q1202" s="544"/>
      <c r="R1202" s="544"/>
      <c r="S1202" s="544"/>
    </row>
    <row r="1203" ht="14.25" customHeight="1">
      <c r="A1203" s="542"/>
      <c r="B1203" s="543"/>
      <c r="C1203" s="543"/>
      <c r="D1203" s="544"/>
      <c r="E1203" s="544"/>
      <c r="F1203" s="544"/>
      <c r="G1203" s="544"/>
      <c r="H1203" s="544"/>
      <c r="I1203" s="543"/>
      <c r="J1203" s="543"/>
      <c r="K1203" s="544"/>
      <c r="L1203" s="543"/>
      <c r="M1203" s="544"/>
      <c r="N1203" s="543"/>
      <c r="O1203" s="544"/>
      <c r="P1203" s="544"/>
      <c r="Q1203" s="544"/>
      <c r="R1203" s="544"/>
      <c r="S1203" s="544"/>
    </row>
    <row r="1204" ht="14.25" customHeight="1">
      <c r="A1204" s="542"/>
      <c r="B1204" s="543"/>
      <c r="C1204" s="543"/>
      <c r="D1204" s="544"/>
      <c r="E1204" s="544"/>
      <c r="F1204" s="544"/>
      <c r="G1204" s="544"/>
      <c r="H1204" s="544"/>
      <c r="I1204" s="543"/>
      <c r="J1204" s="543"/>
      <c r="K1204" s="544"/>
      <c r="L1204" s="543"/>
      <c r="M1204" s="544"/>
      <c r="N1204" s="543"/>
      <c r="O1204" s="544"/>
      <c r="P1204" s="544"/>
      <c r="Q1204" s="544"/>
      <c r="R1204" s="544"/>
      <c r="S1204" s="544"/>
    </row>
    <row r="1205" ht="14.25" customHeight="1">
      <c r="A1205" s="542"/>
      <c r="B1205" s="543"/>
      <c r="C1205" s="543"/>
      <c r="D1205" s="544"/>
      <c r="E1205" s="544"/>
      <c r="F1205" s="544"/>
      <c r="G1205" s="544"/>
      <c r="H1205" s="544"/>
      <c r="I1205" s="543"/>
      <c r="J1205" s="543"/>
      <c r="K1205" s="544"/>
      <c r="L1205" s="543"/>
      <c r="M1205" s="544"/>
      <c r="N1205" s="543"/>
      <c r="O1205" s="544"/>
      <c r="P1205" s="544"/>
      <c r="Q1205" s="544"/>
      <c r="R1205" s="544"/>
      <c r="S1205" s="544"/>
    </row>
    <row r="1206" ht="14.25" customHeight="1">
      <c r="A1206" s="542"/>
      <c r="B1206" s="543"/>
      <c r="C1206" s="543"/>
      <c r="D1206" s="544"/>
      <c r="E1206" s="544"/>
      <c r="F1206" s="544"/>
      <c r="G1206" s="544"/>
      <c r="H1206" s="544"/>
      <c r="I1206" s="543"/>
      <c r="J1206" s="543"/>
      <c r="K1206" s="544"/>
      <c r="L1206" s="543"/>
      <c r="M1206" s="544"/>
      <c r="N1206" s="543"/>
      <c r="O1206" s="544"/>
      <c r="P1206" s="544"/>
      <c r="Q1206" s="544"/>
      <c r="R1206" s="544"/>
      <c r="S1206" s="544"/>
    </row>
    <row r="1207" ht="14.25" customHeight="1">
      <c r="A1207" s="542"/>
      <c r="B1207" s="543"/>
      <c r="C1207" s="543"/>
      <c r="D1207" s="544"/>
      <c r="E1207" s="544"/>
      <c r="F1207" s="544"/>
      <c r="G1207" s="544"/>
      <c r="H1207" s="544"/>
      <c r="I1207" s="543"/>
      <c r="J1207" s="543"/>
      <c r="K1207" s="544"/>
      <c r="L1207" s="543"/>
      <c r="M1207" s="544"/>
      <c r="N1207" s="543"/>
      <c r="O1207" s="544"/>
      <c r="P1207" s="544"/>
      <c r="Q1207" s="544"/>
      <c r="R1207" s="544"/>
      <c r="S1207" s="544"/>
    </row>
    <row r="1208" ht="14.25" customHeight="1">
      <c r="A1208" s="542"/>
      <c r="B1208" s="543"/>
      <c r="C1208" s="543"/>
      <c r="D1208" s="544"/>
      <c r="E1208" s="544"/>
      <c r="F1208" s="544"/>
      <c r="G1208" s="544"/>
      <c r="H1208" s="544"/>
      <c r="I1208" s="543"/>
      <c r="J1208" s="543"/>
      <c r="K1208" s="544"/>
      <c r="L1208" s="543"/>
      <c r="M1208" s="544"/>
      <c r="N1208" s="543"/>
      <c r="O1208" s="544"/>
      <c r="P1208" s="544"/>
      <c r="Q1208" s="544"/>
      <c r="R1208" s="544"/>
      <c r="S1208" s="544"/>
    </row>
    <row r="1209" ht="14.25" customHeight="1">
      <c r="A1209" s="542"/>
      <c r="B1209" s="543"/>
      <c r="C1209" s="543"/>
      <c r="D1209" s="544"/>
      <c r="E1209" s="544"/>
      <c r="F1209" s="544"/>
      <c r="G1209" s="544"/>
      <c r="H1209" s="544"/>
      <c r="I1209" s="543"/>
      <c r="J1209" s="543"/>
      <c r="K1209" s="544"/>
      <c r="L1209" s="543"/>
      <c r="M1209" s="544"/>
      <c r="N1209" s="543"/>
      <c r="O1209" s="544"/>
      <c r="P1209" s="544"/>
      <c r="Q1209" s="544"/>
      <c r="R1209" s="544"/>
      <c r="S1209" s="544"/>
    </row>
    <row r="1210" ht="14.25" customHeight="1">
      <c r="A1210" s="542"/>
      <c r="B1210" s="543"/>
      <c r="C1210" s="543"/>
      <c r="D1210" s="544"/>
      <c r="E1210" s="544"/>
      <c r="F1210" s="544"/>
      <c r="G1210" s="544"/>
      <c r="H1210" s="544"/>
      <c r="I1210" s="543"/>
      <c r="J1210" s="543"/>
      <c r="K1210" s="544"/>
      <c r="L1210" s="543"/>
      <c r="M1210" s="544"/>
      <c r="N1210" s="543"/>
      <c r="O1210" s="544"/>
      <c r="P1210" s="544"/>
      <c r="Q1210" s="544"/>
      <c r="R1210" s="544"/>
      <c r="S1210" s="544"/>
    </row>
    <row r="1211" ht="14.25" customHeight="1">
      <c r="A1211" s="542"/>
      <c r="B1211" s="543"/>
      <c r="C1211" s="543"/>
      <c r="D1211" s="544"/>
      <c r="E1211" s="544"/>
      <c r="F1211" s="544"/>
      <c r="G1211" s="544"/>
      <c r="H1211" s="544"/>
      <c r="I1211" s="543"/>
      <c r="J1211" s="543"/>
      <c r="K1211" s="544"/>
      <c r="L1211" s="543"/>
      <c r="M1211" s="544"/>
      <c r="N1211" s="543"/>
      <c r="O1211" s="544"/>
      <c r="P1211" s="544"/>
      <c r="Q1211" s="544"/>
      <c r="R1211" s="544"/>
      <c r="S1211" s="544"/>
    </row>
    <row r="1212" ht="14.25" customHeight="1">
      <c r="A1212" s="542"/>
      <c r="B1212" s="543"/>
      <c r="C1212" s="543"/>
      <c r="D1212" s="544"/>
      <c r="E1212" s="544"/>
      <c r="F1212" s="544"/>
      <c r="G1212" s="544"/>
      <c r="H1212" s="544"/>
      <c r="I1212" s="543"/>
      <c r="J1212" s="543"/>
      <c r="K1212" s="544"/>
      <c r="L1212" s="543"/>
      <c r="M1212" s="544"/>
      <c r="N1212" s="543"/>
      <c r="O1212" s="544"/>
      <c r="P1212" s="544"/>
      <c r="Q1212" s="544"/>
      <c r="R1212" s="544"/>
      <c r="S1212" s="544"/>
    </row>
    <row r="1213" ht="14.25" customHeight="1">
      <c r="A1213" s="542"/>
      <c r="B1213" s="543"/>
      <c r="C1213" s="543"/>
      <c r="D1213" s="544"/>
      <c r="E1213" s="544"/>
      <c r="F1213" s="544"/>
      <c r="G1213" s="544"/>
      <c r="H1213" s="544"/>
      <c r="I1213" s="543"/>
      <c r="J1213" s="543"/>
      <c r="K1213" s="544"/>
      <c r="L1213" s="543"/>
      <c r="M1213" s="544"/>
      <c r="N1213" s="543"/>
      <c r="O1213" s="544"/>
      <c r="P1213" s="544"/>
      <c r="Q1213" s="544"/>
      <c r="R1213" s="544"/>
      <c r="S1213" s="544"/>
    </row>
    <row r="1214" ht="14.25" customHeight="1">
      <c r="A1214" s="542"/>
      <c r="B1214" s="543"/>
      <c r="C1214" s="543"/>
      <c r="D1214" s="544"/>
      <c r="E1214" s="544"/>
      <c r="F1214" s="544"/>
      <c r="G1214" s="544"/>
      <c r="H1214" s="544"/>
      <c r="I1214" s="543"/>
      <c r="J1214" s="543"/>
      <c r="K1214" s="544"/>
      <c r="L1214" s="543"/>
      <c r="M1214" s="544"/>
      <c r="N1214" s="543"/>
      <c r="O1214" s="544"/>
      <c r="P1214" s="544"/>
      <c r="Q1214" s="544"/>
      <c r="R1214" s="544"/>
      <c r="S1214" s="544"/>
    </row>
    <row r="1215" ht="14.25" customHeight="1">
      <c r="A1215" s="542"/>
      <c r="B1215" s="543"/>
      <c r="C1215" s="543"/>
      <c r="D1215" s="544"/>
      <c r="E1215" s="544"/>
      <c r="F1215" s="544"/>
      <c r="G1215" s="544"/>
      <c r="H1215" s="544"/>
      <c r="I1215" s="543"/>
      <c r="J1215" s="543"/>
      <c r="K1215" s="544"/>
      <c r="L1215" s="543"/>
      <c r="M1215" s="544"/>
      <c r="N1215" s="543"/>
      <c r="O1215" s="544"/>
      <c r="P1215" s="544"/>
      <c r="Q1215" s="544"/>
      <c r="R1215" s="544"/>
      <c r="S1215" s="544"/>
    </row>
    <row r="1216" ht="14.25" customHeight="1">
      <c r="A1216" s="542"/>
      <c r="B1216" s="543"/>
      <c r="C1216" s="543"/>
      <c r="D1216" s="544"/>
      <c r="E1216" s="544"/>
      <c r="F1216" s="544"/>
      <c r="G1216" s="544"/>
      <c r="H1216" s="544"/>
      <c r="I1216" s="543"/>
      <c r="J1216" s="543"/>
      <c r="K1216" s="544"/>
      <c r="L1216" s="543"/>
      <c r="M1216" s="544"/>
      <c r="N1216" s="543"/>
      <c r="O1216" s="544"/>
      <c r="P1216" s="544"/>
      <c r="Q1216" s="544"/>
      <c r="R1216" s="544"/>
      <c r="S1216" s="544"/>
    </row>
    <row r="1217" ht="14.25" customHeight="1">
      <c r="A1217" s="542"/>
      <c r="B1217" s="543"/>
      <c r="C1217" s="543"/>
      <c r="D1217" s="544"/>
      <c r="E1217" s="544"/>
      <c r="F1217" s="544"/>
      <c r="G1217" s="544"/>
      <c r="H1217" s="544"/>
      <c r="I1217" s="543"/>
      <c r="J1217" s="543"/>
      <c r="K1217" s="544"/>
      <c r="L1217" s="543"/>
      <c r="M1217" s="544"/>
      <c r="N1217" s="543"/>
      <c r="O1217" s="544"/>
      <c r="P1217" s="544"/>
      <c r="Q1217" s="544"/>
      <c r="R1217" s="544"/>
      <c r="S1217" s="544"/>
    </row>
    <row r="1218" ht="14.25" customHeight="1">
      <c r="A1218" s="542"/>
      <c r="B1218" s="543"/>
      <c r="C1218" s="543"/>
      <c r="D1218" s="544"/>
      <c r="E1218" s="544"/>
      <c r="F1218" s="544"/>
      <c r="G1218" s="544"/>
      <c r="H1218" s="544"/>
      <c r="I1218" s="543"/>
      <c r="J1218" s="543"/>
      <c r="K1218" s="544"/>
      <c r="L1218" s="543"/>
      <c r="M1218" s="544"/>
      <c r="N1218" s="543"/>
      <c r="O1218" s="544"/>
      <c r="P1218" s="544"/>
      <c r="Q1218" s="544"/>
      <c r="R1218" s="544"/>
      <c r="S1218" s="544"/>
    </row>
    <row r="1219" ht="14.25" customHeight="1">
      <c r="A1219" s="542"/>
      <c r="B1219" s="543"/>
      <c r="C1219" s="543"/>
      <c r="D1219" s="544"/>
      <c r="E1219" s="544"/>
      <c r="F1219" s="544"/>
      <c r="G1219" s="544"/>
      <c r="H1219" s="544"/>
      <c r="I1219" s="543"/>
      <c r="J1219" s="543"/>
      <c r="K1219" s="544"/>
      <c r="L1219" s="543"/>
      <c r="M1219" s="544"/>
      <c r="N1219" s="543"/>
      <c r="O1219" s="544"/>
      <c r="P1219" s="544"/>
      <c r="Q1219" s="544"/>
      <c r="R1219" s="544"/>
      <c r="S1219" s="544"/>
    </row>
    <row r="1220" ht="14.25" customHeight="1">
      <c r="A1220" s="542"/>
      <c r="B1220" s="543"/>
      <c r="C1220" s="543"/>
      <c r="D1220" s="544"/>
      <c r="E1220" s="544"/>
      <c r="F1220" s="544"/>
      <c r="G1220" s="544"/>
      <c r="H1220" s="544"/>
      <c r="I1220" s="543"/>
      <c r="J1220" s="543"/>
      <c r="K1220" s="544"/>
      <c r="L1220" s="543"/>
      <c r="M1220" s="544"/>
      <c r="N1220" s="543"/>
      <c r="O1220" s="544"/>
      <c r="P1220" s="544"/>
      <c r="Q1220" s="544"/>
      <c r="R1220" s="544"/>
      <c r="S1220" s="544"/>
    </row>
    <row r="1221" ht="14.25" customHeight="1">
      <c r="A1221" s="542"/>
      <c r="B1221" s="543"/>
      <c r="C1221" s="543"/>
      <c r="D1221" s="544"/>
      <c r="E1221" s="544"/>
      <c r="F1221" s="544"/>
      <c r="G1221" s="544"/>
      <c r="H1221" s="544"/>
      <c r="I1221" s="543"/>
      <c r="J1221" s="543"/>
      <c r="K1221" s="544"/>
      <c r="L1221" s="543"/>
      <c r="M1221" s="544"/>
      <c r="N1221" s="543"/>
      <c r="O1221" s="544"/>
      <c r="P1221" s="544"/>
      <c r="Q1221" s="544"/>
      <c r="R1221" s="544"/>
      <c r="S1221" s="544"/>
    </row>
    <row r="1222" ht="14.25" customHeight="1">
      <c r="A1222" s="542"/>
      <c r="B1222" s="543"/>
      <c r="C1222" s="543"/>
      <c r="D1222" s="544"/>
      <c r="E1222" s="544"/>
      <c r="F1222" s="544"/>
      <c r="G1222" s="544"/>
      <c r="H1222" s="544"/>
      <c r="I1222" s="543"/>
      <c r="J1222" s="543"/>
      <c r="K1222" s="544"/>
      <c r="L1222" s="543"/>
      <c r="M1222" s="544"/>
      <c r="N1222" s="543"/>
      <c r="O1222" s="544"/>
      <c r="P1222" s="544"/>
      <c r="Q1222" s="544"/>
      <c r="R1222" s="544"/>
      <c r="S1222" s="544"/>
    </row>
    <row r="1223" ht="14.25" customHeight="1">
      <c r="A1223" s="542"/>
      <c r="B1223" s="543"/>
      <c r="C1223" s="543"/>
      <c r="D1223" s="544"/>
      <c r="E1223" s="544"/>
      <c r="F1223" s="544"/>
      <c r="G1223" s="544"/>
      <c r="H1223" s="544"/>
      <c r="I1223" s="543"/>
      <c r="J1223" s="543"/>
      <c r="K1223" s="544"/>
      <c r="L1223" s="543"/>
      <c r="M1223" s="544"/>
      <c r="N1223" s="543"/>
      <c r="O1223" s="544"/>
      <c r="P1223" s="544"/>
      <c r="Q1223" s="544"/>
      <c r="R1223" s="544"/>
      <c r="S1223" s="544"/>
    </row>
    <row r="1224" ht="14.25" customHeight="1">
      <c r="A1224" s="542"/>
      <c r="B1224" s="543"/>
      <c r="C1224" s="543"/>
      <c r="D1224" s="544"/>
      <c r="E1224" s="544"/>
      <c r="F1224" s="544"/>
      <c r="G1224" s="544"/>
      <c r="H1224" s="544"/>
      <c r="I1224" s="543"/>
      <c r="J1224" s="543"/>
      <c r="K1224" s="544"/>
      <c r="L1224" s="543"/>
      <c r="M1224" s="544"/>
      <c r="N1224" s="543"/>
      <c r="O1224" s="544"/>
      <c r="P1224" s="544"/>
      <c r="Q1224" s="544"/>
      <c r="R1224" s="544"/>
      <c r="S1224" s="544"/>
    </row>
    <row r="1225" ht="14.25" customHeight="1">
      <c r="A1225" s="542"/>
      <c r="B1225" s="543"/>
      <c r="C1225" s="543"/>
      <c r="D1225" s="544"/>
      <c r="E1225" s="544"/>
      <c r="F1225" s="544"/>
      <c r="G1225" s="544"/>
      <c r="H1225" s="544"/>
      <c r="I1225" s="543"/>
      <c r="J1225" s="543"/>
      <c r="K1225" s="544"/>
      <c r="L1225" s="543"/>
      <c r="M1225" s="544"/>
      <c r="N1225" s="543"/>
      <c r="O1225" s="544"/>
      <c r="P1225" s="544"/>
      <c r="Q1225" s="544"/>
      <c r="R1225" s="544"/>
      <c r="S1225" s="544"/>
    </row>
    <row r="1226" ht="14.25" customHeight="1">
      <c r="A1226" s="542"/>
      <c r="B1226" s="543"/>
      <c r="C1226" s="543"/>
      <c r="D1226" s="544"/>
      <c r="E1226" s="544"/>
      <c r="F1226" s="544"/>
      <c r="G1226" s="544"/>
      <c r="H1226" s="544"/>
      <c r="I1226" s="543"/>
      <c r="J1226" s="543"/>
      <c r="K1226" s="544"/>
      <c r="L1226" s="543"/>
      <c r="M1226" s="544"/>
      <c r="N1226" s="543"/>
      <c r="O1226" s="544"/>
      <c r="P1226" s="544"/>
      <c r="Q1226" s="544"/>
      <c r="R1226" s="544"/>
      <c r="S1226" s="544"/>
    </row>
    <row r="1227" ht="14.25" customHeight="1">
      <c r="A1227" s="542"/>
      <c r="B1227" s="543"/>
      <c r="C1227" s="543"/>
      <c r="D1227" s="544"/>
      <c r="E1227" s="544"/>
      <c r="F1227" s="544"/>
      <c r="G1227" s="544"/>
      <c r="H1227" s="544"/>
      <c r="I1227" s="543"/>
      <c r="J1227" s="543"/>
      <c r="K1227" s="544"/>
      <c r="L1227" s="543"/>
      <c r="M1227" s="544"/>
      <c r="N1227" s="543"/>
      <c r="O1227" s="544"/>
      <c r="P1227" s="544"/>
      <c r="Q1227" s="544"/>
      <c r="R1227" s="544"/>
      <c r="S1227" s="544"/>
    </row>
    <row r="1228" ht="14.25" customHeight="1">
      <c r="A1228" s="542"/>
      <c r="B1228" s="543"/>
      <c r="C1228" s="543"/>
      <c r="D1228" s="544"/>
      <c r="E1228" s="544"/>
      <c r="F1228" s="544"/>
      <c r="G1228" s="544"/>
      <c r="H1228" s="544"/>
      <c r="I1228" s="543"/>
      <c r="J1228" s="543"/>
      <c r="K1228" s="544"/>
      <c r="L1228" s="543"/>
      <c r="M1228" s="544"/>
      <c r="N1228" s="543"/>
      <c r="O1228" s="544"/>
      <c r="P1228" s="544"/>
      <c r="Q1228" s="544"/>
      <c r="R1228" s="544"/>
      <c r="S1228" s="544"/>
    </row>
    <row r="1229" ht="14.25" customHeight="1">
      <c r="A1229" s="542"/>
      <c r="B1229" s="543"/>
      <c r="C1229" s="543"/>
      <c r="D1229" s="544"/>
      <c r="E1229" s="544"/>
      <c r="F1229" s="544"/>
      <c r="G1229" s="544"/>
      <c r="H1229" s="544"/>
      <c r="I1229" s="543"/>
      <c r="J1229" s="543"/>
      <c r="K1229" s="544"/>
      <c r="L1229" s="543"/>
      <c r="M1229" s="544"/>
      <c r="N1229" s="543"/>
      <c r="O1229" s="544"/>
      <c r="P1229" s="544"/>
      <c r="Q1229" s="544"/>
      <c r="R1229" s="544"/>
      <c r="S1229" s="544"/>
    </row>
    <row r="1230" ht="14.25" customHeight="1">
      <c r="A1230" s="542"/>
      <c r="B1230" s="543"/>
      <c r="C1230" s="543"/>
      <c r="D1230" s="544"/>
      <c r="E1230" s="544"/>
      <c r="F1230" s="544"/>
      <c r="G1230" s="544"/>
      <c r="H1230" s="544"/>
      <c r="I1230" s="543"/>
      <c r="J1230" s="543"/>
      <c r="K1230" s="544"/>
      <c r="L1230" s="543"/>
      <c r="M1230" s="544"/>
      <c r="N1230" s="543"/>
      <c r="O1230" s="544"/>
      <c r="P1230" s="544"/>
      <c r="Q1230" s="544"/>
      <c r="R1230" s="544"/>
      <c r="S1230" s="544"/>
    </row>
    <row r="1231" ht="14.25" customHeight="1">
      <c r="A1231" s="542"/>
      <c r="B1231" s="543"/>
      <c r="C1231" s="543"/>
      <c r="D1231" s="544"/>
      <c r="E1231" s="544"/>
      <c r="F1231" s="544"/>
      <c r="G1231" s="544"/>
      <c r="H1231" s="544"/>
      <c r="I1231" s="543"/>
      <c r="J1231" s="543"/>
      <c r="K1231" s="544"/>
      <c r="L1231" s="543"/>
      <c r="M1231" s="544"/>
      <c r="N1231" s="543"/>
      <c r="O1231" s="544"/>
      <c r="P1231" s="544"/>
      <c r="Q1231" s="544"/>
      <c r="R1231" s="544"/>
      <c r="S1231" s="544"/>
    </row>
    <row r="1232" ht="14.25" customHeight="1">
      <c r="A1232" s="542"/>
      <c r="B1232" s="543"/>
      <c r="C1232" s="543"/>
      <c r="D1232" s="544"/>
      <c r="E1232" s="544"/>
      <c r="F1232" s="544"/>
      <c r="G1232" s="544"/>
      <c r="H1232" s="544"/>
      <c r="I1232" s="543"/>
      <c r="J1232" s="543"/>
      <c r="K1232" s="544"/>
      <c r="L1232" s="543"/>
      <c r="M1232" s="544"/>
      <c r="N1232" s="543"/>
      <c r="O1232" s="544"/>
      <c r="P1232" s="544"/>
      <c r="Q1232" s="544"/>
      <c r="R1232" s="544"/>
      <c r="S1232" s="544"/>
    </row>
    <row r="1233" ht="14.25" customHeight="1">
      <c r="A1233" s="542"/>
      <c r="B1233" s="543"/>
      <c r="C1233" s="543"/>
      <c r="D1233" s="544"/>
      <c r="E1233" s="544"/>
      <c r="F1233" s="544"/>
      <c r="G1233" s="544"/>
      <c r="H1233" s="544"/>
      <c r="I1233" s="543"/>
      <c r="J1233" s="543"/>
      <c r="K1233" s="544"/>
      <c r="L1233" s="543"/>
      <c r="M1233" s="544"/>
      <c r="N1233" s="543"/>
      <c r="O1233" s="544"/>
      <c r="P1233" s="544"/>
      <c r="Q1233" s="544"/>
      <c r="R1233" s="544"/>
      <c r="S1233" s="544"/>
    </row>
    <row r="1234" ht="14.25" customHeight="1">
      <c r="A1234" s="542"/>
      <c r="B1234" s="543"/>
      <c r="C1234" s="543"/>
      <c r="D1234" s="544"/>
      <c r="E1234" s="544"/>
      <c r="F1234" s="544"/>
      <c r="G1234" s="544"/>
      <c r="H1234" s="544"/>
      <c r="I1234" s="543"/>
      <c r="J1234" s="543"/>
      <c r="K1234" s="544"/>
      <c r="L1234" s="543"/>
      <c r="M1234" s="544"/>
      <c r="N1234" s="543"/>
      <c r="O1234" s="544"/>
      <c r="P1234" s="544"/>
      <c r="Q1234" s="544"/>
      <c r="R1234" s="544"/>
      <c r="S1234" s="544"/>
    </row>
    <row r="1235" ht="14.25" customHeight="1">
      <c r="A1235" s="542"/>
      <c r="B1235" s="543"/>
      <c r="C1235" s="543"/>
      <c r="D1235" s="544"/>
      <c r="E1235" s="544"/>
      <c r="F1235" s="544"/>
      <c r="G1235" s="544"/>
      <c r="H1235" s="544"/>
      <c r="I1235" s="543"/>
      <c r="J1235" s="543"/>
      <c r="K1235" s="544"/>
      <c r="L1235" s="543"/>
      <c r="M1235" s="544"/>
      <c r="N1235" s="543"/>
      <c r="O1235" s="544"/>
      <c r="P1235" s="544"/>
      <c r="Q1235" s="544"/>
      <c r="R1235" s="544"/>
      <c r="S1235" s="544"/>
    </row>
    <row r="1236" ht="14.25" customHeight="1">
      <c r="A1236" s="542"/>
      <c r="B1236" s="543"/>
      <c r="C1236" s="543"/>
      <c r="D1236" s="544"/>
      <c r="E1236" s="544"/>
      <c r="F1236" s="544"/>
      <c r="G1236" s="544"/>
      <c r="H1236" s="544"/>
      <c r="I1236" s="543"/>
      <c r="J1236" s="543"/>
      <c r="K1236" s="544"/>
      <c r="L1236" s="543"/>
      <c r="M1236" s="544"/>
      <c r="N1236" s="543"/>
      <c r="O1236" s="544"/>
      <c r="P1236" s="544"/>
      <c r="Q1236" s="544"/>
      <c r="R1236" s="544"/>
      <c r="S1236" s="544"/>
    </row>
    <row r="1237" ht="14.25" customHeight="1">
      <c r="A1237" s="542"/>
      <c r="B1237" s="543"/>
      <c r="C1237" s="543"/>
      <c r="D1237" s="544"/>
      <c r="E1237" s="544"/>
      <c r="F1237" s="544"/>
      <c r="G1237" s="544"/>
      <c r="H1237" s="544"/>
      <c r="I1237" s="543"/>
      <c r="J1237" s="543"/>
      <c r="K1237" s="544"/>
      <c r="L1237" s="543"/>
      <c r="M1237" s="544"/>
      <c r="N1237" s="543"/>
      <c r="O1237" s="544"/>
      <c r="P1237" s="544"/>
      <c r="Q1237" s="544"/>
      <c r="R1237" s="544"/>
      <c r="S1237" s="544"/>
    </row>
    <row r="1238" ht="14.25" customHeight="1">
      <c r="A1238" s="542"/>
      <c r="B1238" s="543"/>
      <c r="C1238" s="543"/>
      <c r="D1238" s="544"/>
      <c r="E1238" s="544"/>
      <c r="F1238" s="544"/>
      <c r="G1238" s="544"/>
      <c r="H1238" s="544"/>
      <c r="I1238" s="543"/>
      <c r="J1238" s="543"/>
      <c r="K1238" s="544"/>
      <c r="L1238" s="543"/>
      <c r="M1238" s="544"/>
      <c r="N1238" s="543"/>
      <c r="O1238" s="544"/>
      <c r="P1238" s="544"/>
      <c r="Q1238" s="544"/>
      <c r="R1238" s="544"/>
      <c r="S1238" s="544"/>
    </row>
    <row r="1239" ht="14.25" customHeight="1">
      <c r="A1239" s="542"/>
      <c r="B1239" s="543"/>
      <c r="C1239" s="543"/>
      <c r="D1239" s="544"/>
      <c r="E1239" s="544"/>
      <c r="F1239" s="544"/>
      <c r="G1239" s="544"/>
      <c r="H1239" s="544"/>
      <c r="I1239" s="543"/>
      <c r="J1239" s="543"/>
      <c r="K1239" s="544"/>
      <c r="L1239" s="543"/>
      <c r="M1239" s="544"/>
      <c r="N1239" s="543"/>
      <c r="O1239" s="544"/>
      <c r="P1239" s="544"/>
      <c r="Q1239" s="544"/>
      <c r="R1239" s="544"/>
      <c r="S1239" s="544"/>
    </row>
    <row r="1240" ht="14.25" customHeight="1">
      <c r="A1240" s="542"/>
      <c r="B1240" s="543"/>
      <c r="C1240" s="543"/>
      <c r="D1240" s="544"/>
      <c r="E1240" s="544"/>
      <c r="F1240" s="544"/>
      <c r="G1240" s="544"/>
      <c r="H1240" s="544"/>
      <c r="I1240" s="543"/>
      <c r="J1240" s="543"/>
      <c r="K1240" s="544"/>
      <c r="L1240" s="543"/>
      <c r="M1240" s="544"/>
      <c r="N1240" s="543"/>
      <c r="O1240" s="544"/>
      <c r="P1240" s="544"/>
      <c r="Q1240" s="544"/>
      <c r="R1240" s="544"/>
      <c r="S1240" s="544"/>
    </row>
    <row r="1241" ht="14.25" customHeight="1">
      <c r="A1241" s="542"/>
      <c r="B1241" s="543"/>
      <c r="C1241" s="543"/>
      <c r="D1241" s="544"/>
      <c r="E1241" s="544"/>
      <c r="F1241" s="544"/>
      <c r="G1241" s="544"/>
      <c r="H1241" s="544"/>
      <c r="I1241" s="543"/>
      <c r="J1241" s="543"/>
      <c r="K1241" s="544"/>
      <c r="L1241" s="543"/>
      <c r="M1241" s="544"/>
      <c r="N1241" s="543"/>
      <c r="O1241" s="544"/>
      <c r="P1241" s="544"/>
      <c r="Q1241" s="544"/>
      <c r="R1241" s="544"/>
      <c r="S1241" s="544"/>
    </row>
    <row r="1242" ht="14.25" customHeight="1">
      <c r="A1242" s="542"/>
      <c r="B1242" s="543"/>
      <c r="C1242" s="543"/>
      <c r="D1242" s="544"/>
      <c r="E1242" s="544"/>
      <c r="F1242" s="544"/>
      <c r="G1242" s="544"/>
      <c r="H1242" s="544"/>
      <c r="I1242" s="543"/>
      <c r="J1242" s="543"/>
      <c r="K1242" s="544"/>
      <c r="L1242" s="543"/>
      <c r="M1242" s="544"/>
      <c r="N1242" s="543"/>
      <c r="O1242" s="544"/>
      <c r="P1242" s="544"/>
      <c r="Q1242" s="544"/>
      <c r="R1242" s="544"/>
      <c r="S1242" s="544"/>
    </row>
    <row r="1243" ht="14.25" customHeight="1">
      <c r="A1243" s="542"/>
      <c r="B1243" s="543"/>
      <c r="C1243" s="543"/>
      <c r="D1243" s="544"/>
      <c r="E1243" s="544"/>
      <c r="F1243" s="544"/>
      <c r="G1243" s="544"/>
      <c r="H1243" s="544"/>
      <c r="I1243" s="543"/>
      <c r="J1243" s="543"/>
      <c r="K1243" s="544"/>
      <c r="L1243" s="543"/>
      <c r="M1243" s="544"/>
      <c r="N1243" s="543"/>
      <c r="O1243" s="544"/>
      <c r="P1243" s="544"/>
      <c r="Q1243" s="544"/>
      <c r="R1243" s="544"/>
      <c r="S1243" s="544"/>
    </row>
    <row r="1244" ht="14.25" customHeight="1">
      <c r="A1244" s="542"/>
      <c r="B1244" s="543"/>
      <c r="C1244" s="543"/>
      <c r="D1244" s="544"/>
      <c r="E1244" s="544"/>
      <c r="F1244" s="544"/>
      <c r="G1244" s="544"/>
      <c r="H1244" s="544"/>
      <c r="I1244" s="543"/>
      <c r="J1244" s="543"/>
      <c r="K1244" s="544"/>
      <c r="L1244" s="543"/>
      <c r="M1244" s="544"/>
      <c r="N1244" s="543"/>
      <c r="O1244" s="544"/>
      <c r="P1244" s="544"/>
      <c r="Q1244" s="544"/>
      <c r="R1244" s="544"/>
      <c r="S1244" s="544"/>
    </row>
    <row r="1245" ht="14.25" customHeight="1">
      <c r="A1245" s="542"/>
      <c r="B1245" s="543"/>
      <c r="C1245" s="543"/>
      <c r="D1245" s="544"/>
      <c r="E1245" s="544"/>
      <c r="F1245" s="544"/>
      <c r="G1245" s="544"/>
      <c r="H1245" s="544"/>
      <c r="I1245" s="543"/>
      <c r="J1245" s="543"/>
      <c r="K1245" s="544"/>
      <c r="L1245" s="543"/>
      <c r="M1245" s="544"/>
      <c r="N1245" s="543"/>
      <c r="O1245" s="544"/>
      <c r="P1245" s="544"/>
      <c r="Q1245" s="544"/>
      <c r="R1245" s="544"/>
      <c r="S1245" s="544"/>
    </row>
    <row r="1246" ht="14.25" customHeight="1">
      <c r="A1246" s="542"/>
      <c r="B1246" s="543"/>
      <c r="C1246" s="543"/>
      <c r="D1246" s="544"/>
      <c r="E1246" s="544"/>
      <c r="F1246" s="544"/>
      <c r="G1246" s="544"/>
      <c r="H1246" s="544"/>
      <c r="I1246" s="543"/>
      <c r="J1246" s="543"/>
      <c r="K1246" s="544"/>
      <c r="L1246" s="543"/>
      <c r="M1246" s="544"/>
      <c r="N1246" s="543"/>
      <c r="O1246" s="544"/>
      <c r="P1246" s="544"/>
      <c r="Q1246" s="544"/>
      <c r="R1246" s="544"/>
      <c r="S1246" s="544"/>
    </row>
    <row r="1247" ht="14.25" customHeight="1">
      <c r="A1247" s="542"/>
      <c r="B1247" s="543"/>
      <c r="C1247" s="543"/>
      <c r="D1247" s="544"/>
      <c r="E1247" s="544"/>
      <c r="F1247" s="544"/>
      <c r="G1247" s="544"/>
      <c r="H1247" s="544"/>
      <c r="I1247" s="543"/>
      <c r="J1247" s="543"/>
      <c r="K1247" s="544"/>
      <c r="L1247" s="543"/>
      <c r="M1247" s="544"/>
      <c r="N1247" s="543"/>
      <c r="O1247" s="544"/>
      <c r="P1247" s="544"/>
      <c r="Q1247" s="544"/>
      <c r="R1247" s="544"/>
      <c r="S1247" s="544"/>
    </row>
    <row r="1248" ht="14.25" customHeight="1">
      <c r="A1248" s="542"/>
      <c r="B1248" s="543"/>
      <c r="C1248" s="543"/>
      <c r="D1248" s="544"/>
      <c r="E1248" s="544"/>
      <c r="F1248" s="544"/>
      <c r="G1248" s="544"/>
      <c r="H1248" s="544"/>
      <c r="I1248" s="543"/>
      <c r="J1248" s="543"/>
      <c r="K1248" s="544"/>
      <c r="L1248" s="543"/>
      <c r="M1248" s="544"/>
      <c r="N1248" s="543"/>
      <c r="O1248" s="544"/>
      <c r="P1248" s="544"/>
      <c r="Q1248" s="544"/>
      <c r="R1248" s="544"/>
      <c r="S1248" s="544"/>
    </row>
    <row r="1249" ht="14.25" customHeight="1">
      <c r="A1249" s="542"/>
      <c r="B1249" s="543"/>
      <c r="C1249" s="543"/>
      <c r="D1249" s="544"/>
      <c r="E1249" s="544"/>
      <c r="F1249" s="544"/>
      <c r="G1249" s="544"/>
      <c r="H1249" s="544"/>
      <c r="I1249" s="543"/>
      <c r="J1249" s="543"/>
      <c r="K1249" s="544"/>
      <c r="L1249" s="543"/>
      <c r="M1249" s="544"/>
      <c r="N1249" s="543"/>
      <c r="O1249" s="544"/>
      <c r="P1249" s="544"/>
      <c r="Q1249" s="544"/>
      <c r="R1249" s="544"/>
      <c r="S1249" s="544"/>
    </row>
    <row r="1250" ht="14.25" customHeight="1">
      <c r="A1250" s="542"/>
      <c r="B1250" s="543"/>
      <c r="C1250" s="543"/>
      <c r="D1250" s="544"/>
      <c r="E1250" s="544"/>
      <c r="F1250" s="544"/>
      <c r="G1250" s="544"/>
      <c r="H1250" s="544"/>
      <c r="I1250" s="543"/>
      <c r="J1250" s="543"/>
      <c r="K1250" s="544"/>
      <c r="L1250" s="543"/>
      <c r="M1250" s="544"/>
      <c r="N1250" s="543"/>
      <c r="O1250" s="544"/>
      <c r="P1250" s="544"/>
      <c r="Q1250" s="544"/>
      <c r="R1250" s="544"/>
      <c r="S1250" s="544"/>
    </row>
    <row r="1251" ht="14.25" customHeight="1">
      <c r="A1251" s="542"/>
      <c r="B1251" s="543"/>
      <c r="C1251" s="543"/>
      <c r="D1251" s="544"/>
      <c r="E1251" s="544"/>
      <c r="F1251" s="544"/>
      <c r="G1251" s="544"/>
      <c r="H1251" s="544"/>
      <c r="I1251" s="543"/>
      <c r="J1251" s="543"/>
      <c r="K1251" s="544"/>
      <c r="L1251" s="543"/>
      <c r="M1251" s="544"/>
      <c r="N1251" s="543"/>
      <c r="O1251" s="544"/>
      <c r="P1251" s="544"/>
      <c r="Q1251" s="544"/>
      <c r="R1251" s="544"/>
      <c r="S1251" s="544"/>
    </row>
    <row r="1252" ht="14.25" customHeight="1">
      <c r="A1252" s="542"/>
      <c r="B1252" s="543"/>
      <c r="C1252" s="543"/>
      <c r="D1252" s="544"/>
      <c r="E1252" s="544"/>
      <c r="F1252" s="544"/>
      <c r="G1252" s="544"/>
      <c r="H1252" s="544"/>
      <c r="I1252" s="543"/>
      <c r="J1252" s="543"/>
      <c r="K1252" s="544"/>
      <c r="L1252" s="543"/>
      <c r="M1252" s="544"/>
      <c r="N1252" s="543"/>
      <c r="O1252" s="544"/>
      <c r="P1252" s="544"/>
      <c r="Q1252" s="544"/>
      <c r="R1252" s="544"/>
      <c r="S1252" s="544"/>
    </row>
    <row r="1253" ht="14.25" customHeight="1">
      <c r="A1253" s="542"/>
      <c r="B1253" s="543"/>
      <c r="C1253" s="543"/>
      <c r="D1253" s="544"/>
      <c r="E1253" s="544"/>
      <c r="F1253" s="544"/>
      <c r="G1253" s="544"/>
      <c r="H1253" s="544"/>
      <c r="I1253" s="543"/>
      <c r="J1253" s="543"/>
      <c r="K1253" s="544"/>
      <c r="L1253" s="543"/>
      <c r="M1253" s="544"/>
      <c r="N1253" s="543"/>
      <c r="O1253" s="544"/>
      <c r="P1253" s="544"/>
      <c r="Q1253" s="544"/>
      <c r="R1253" s="544"/>
      <c r="S1253" s="544"/>
    </row>
    <row r="1254" ht="14.25" customHeight="1">
      <c r="A1254" s="542"/>
      <c r="B1254" s="543"/>
      <c r="C1254" s="543"/>
      <c r="D1254" s="544"/>
      <c r="E1254" s="544"/>
      <c r="F1254" s="544"/>
      <c r="G1254" s="544"/>
      <c r="H1254" s="544"/>
      <c r="I1254" s="543"/>
      <c r="J1254" s="543"/>
      <c r="K1254" s="544"/>
      <c r="L1254" s="543"/>
      <c r="M1254" s="544"/>
      <c r="N1254" s="543"/>
      <c r="O1254" s="544"/>
      <c r="P1254" s="544"/>
      <c r="Q1254" s="544"/>
      <c r="R1254" s="544"/>
      <c r="S1254" s="544"/>
    </row>
    <row r="1255" ht="14.25" customHeight="1">
      <c r="A1255" s="542"/>
      <c r="B1255" s="543"/>
      <c r="C1255" s="543"/>
      <c r="D1255" s="544"/>
      <c r="E1255" s="544"/>
      <c r="F1255" s="544"/>
      <c r="G1255" s="544"/>
      <c r="H1255" s="544"/>
      <c r="I1255" s="543"/>
      <c r="J1255" s="543"/>
      <c r="K1255" s="544"/>
      <c r="L1255" s="543"/>
      <c r="M1255" s="544"/>
      <c r="N1255" s="543"/>
      <c r="O1255" s="544"/>
      <c r="P1255" s="544"/>
      <c r="Q1255" s="544"/>
      <c r="R1255" s="544"/>
      <c r="S1255" s="544"/>
    </row>
    <row r="1256" ht="14.25" customHeight="1">
      <c r="A1256" s="542"/>
      <c r="B1256" s="543"/>
      <c r="C1256" s="543"/>
      <c r="D1256" s="544"/>
      <c r="E1256" s="544"/>
      <c r="F1256" s="544"/>
      <c r="G1256" s="544"/>
      <c r="H1256" s="544"/>
      <c r="I1256" s="543"/>
      <c r="J1256" s="543"/>
      <c r="K1256" s="544"/>
      <c r="L1256" s="543"/>
      <c r="M1256" s="544"/>
      <c r="N1256" s="543"/>
      <c r="O1256" s="544"/>
      <c r="P1256" s="544"/>
      <c r="Q1256" s="544"/>
      <c r="R1256" s="544"/>
      <c r="S1256" s="544"/>
    </row>
    <row r="1257" ht="14.25" customHeight="1">
      <c r="A1257" s="542"/>
      <c r="B1257" s="543"/>
      <c r="C1257" s="543"/>
      <c r="D1257" s="544"/>
      <c r="E1257" s="544"/>
      <c r="F1257" s="544"/>
      <c r="G1257" s="544"/>
      <c r="H1257" s="544"/>
      <c r="I1257" s="543"/>
      <c r="J1257" s="543"/>
      <c r="K1257" s="544"/>
      <c r="L1257" s="543"/>
      <c r="M1257" s="544"/>
      <c r="N1257" s="543"/>
      <c r="O1257" s="544"/>
      <c r="P1257" s="544"/>
      <c r="Q1257" s="544"/>
      <c r="R1257" s="544"/>
      <c r="S1257" s="544"/>
    </row>
    <row r="1258" ht="14.25" customHeight="1">
      <c r="A1258" s="542"/>
      <c r="B1258" s="543"/>
      <c r="C1258" s="543"/>
      <c r="D1258" s="544"/>
      <c r="E1258" s="544"/>
      <c r="F1258" s="544"/>
      <c r="G1258" s="544"/>
      <c r="H1258" s="544"/>
      <c r="I1258" s="543"/>
      <c r="J1258" s="543"/>
      <c r="K1258" s="544"/>
      <c r="L1258" s="543"/>
      <c r="M1258" s="544"/>
      <c r="N1258" s="543"/>
      <c r="O1258" s="544"/>
      <c r="P1258" s="544"/>
      <c r="Q1258" s="544"/>
      <c r="R1258" s="544"/>
      <c r="S1258" s="544"/>
    </row>
    <row r="1259" ht="14.25" customHeight="1">
      <c r="A1259" s="542"/>
      <c r="B1259" s="543"/>
      <c r="C1259" s="543"/>
      <c r="D1259" s="544"/>
      <c r="E1259" s="544"/>
      <c r="F1259" s="544"/>
      <c r="G1259" s="544"/>
      <c r="H1259" s="544"/>
      <c r="I1259" s="543"/>
      <c r="J1259" s="543"/>
      <c r="K1259" s="544"/>
      <c r="L1259" s="543"/>
      <c r="M1259" s="544"/>
      <c r="N1259" s="543"/>
      <c r="O1259" s="544"/>
      <c r="P1259" s="544"/>
      <c r="Q1259" s="544"/>
      <c r="R1259" s="544"/>
      <c r="S1259" s="544"/>
    </row>
    <row r="1260" ht="14.25" customHeight="1">
      <c r="A1260" s="542"/>
      <c r="B1260" s="543"/>
      <c r="C1260" s="543"/>
      <c r="D1260" s="544"/>
      <c r="E1260" s="544"/>
      <c r="F1260" s="544"/>
      <c r="G1260" s="544"/>
      <c r="H1260" s="544"/>
      <c r="I1260" s="543"/>
      <c r="J1260" s="543"/>
      <c r="K1260" s="544"/>
      <c r="L1260" s="543"/>
      <c r="M1260" s="544"/>
      <c r="N1260" s="543"/>
      <c r="O1260" s="544"/>
      <c r="P1260" s="544"/>
      <c r="Q1260" s="544"/>
      <c r="R1260" s="544"/>
      <c r="S1260" s="544"/>
    </row>
    <row r="1261" ht="14.25" customHeight="1">
      <c r="A1261" s="542"/>
      <c r="B1261" s="543"/>
      <c r="C1261" s="543"/>
      <c r="D1261" s="544"/>
      <c r="E1261" s="544"/>
      <c r="F1261" s="544"/>
      <c r="G1261" s="544"/>
      <c r="H1261" s="544"/>
      <c r="I1261" s="543"/>
      <c r="J1261" s="543"/>
      <c r="K1261" s="544"/>
      <c r="L1261" s="543"/>
      <c r="M1261" s="544"/>
      <c r="N1261" s="543"/>
      <c r="O1261" s="544"/>
      <c r="P1261" s="544"/>
      <c r="Q1261" s="544"/>
      <c r="R1261" s="544"/>
      <c r="S1261" s="544"/>
    </row>
    <row r="1262" ht="14.25" customHeight="1">
      <c r="A1262" s="542"/>
      <c r="B1262" s="543"/>
      <c r="C1262" s="543"/>
      <c r="D1262" s="544"/>
      <c r="E1262" s="544"/>
      <c r="F1262" s="544"/>
      <c r="G1262" s="544"/>
      <c r="H1262" s="544"/>
      <c r="I1262" s="543"/>
      <c r="J1262" s="543"/>
      <c r="K1262" s="544"/>
      <c r="L1262" s="543"/>
      <c r="M1262" s="544"/>
      <c r="N1262" s="543"/>
      <c r="O1262" s="544"/>
      <c r="P1262" s="544"/>
      <c r="Q1262" s="544"/>
      <c r="R1262" s="544"/>
      <c r="S1262" s="544"/>
    </row>
    <row r="1263" ht="14.25" customHeight="1">
      <c r="A1263" s="542"/>
      <c r="B1263" s="543"/>
      <c r="C1263" s="543"/>
      <c r="D1263" s="544"/>
      <c r="E1263" s="544"/>
      <c r="F1263" s="544"/>
      <c r="G1263" s="544"/>
      <c r="H1263" s="544"/>
      <c r="I1263" s="543"/>
      <c r="J1263" s="543"/>
      <c r="K1263" s="544"/>
      <c r="L1263" s="543"/>
      <c r="M1263" s="544"/>
      <c r="N1263" s="543"/>
      <c r="O1263" s="544"/>
      <c r="P1263" s="544"/>
      <c r="Q1263" s="544"/>
      <c r="R1263" s="544"/>
      <c r="S1263" s="544"/>
    </row>
    <row r="1264" ht="14.25" customHeight="1">
      <c r="A1264" s="542"/>
      <c r="B1264" s="543"/>
      <c r="C1264" s="543"/>
      <c r="D1264" s="544"/>
      <c r="E1264" s="544"/>
      <c r="F1264" s="544"/>
      <c r="G1264" s="544"/>
      <c r="H1264" s="544"/>
      <c r="I1264" s="543"/>
      <c r="J1264" s="543"/>
      <c r="K1264" s="544"/>
      <c r="L1264" s="543"/>
      <c r="M1264" s="544"/>
      <c r="N1264" s="543"/>
      <c r="O1264" s="544"/>
      <c r="P1264" s="544"/>
      <c r="Q1264" s="544"/>
      <c r="R1264" s="544"/>
      <c r="S1264" s="544"/>
    </row>
    <row r="1265" ht="14.25" customHeight="1">
      <c r="A1265" s="542"/>
      <c r="B1265" s="543"/>
      <c r="C1265" s="543"/>
      <c r="D1265" s="544"/>
      <c r="E1265" s="544"/>
      <c r="F1265" s="544"/>
      <c r="G1265" s="544"/>
      <c r="H1265" s="544"/>
      <c r="I1265" s="543"/>
      <c r="J1265" s="543"/>
      <c r="K1265" s="544"/>
      <c r="L1265" s="543"/>
      <c r="M1265" s="544"/>
      <c r="N1265" s="543"/>
      <c r="O1265" s="544"/>
      <c r="P1265" s="544"/>
      <c r="Q1265" s="544"/>
      <c r="R1265" s="544"/>
      <c r="S1265" s="544"/>
    </row>
    <row r="1266" ht="14.25" customHeight="1">
      <c r="A1266" s="542"/>
      <c r="B1266" s="543"/>
      <c r="C1266" s="543"/>
      <c r="D1266" s="544"/>
      <c r="E1266" s="544"/>
      <c r="F1266" s="544"/>
      <c r="G1266" s="544"/>
      <c r="H1266" s="544"/>
      <c r="I1266" s="543"/>
      <c r="J1266" s="543"/>
      <c r="K1266" s="544"/>
      <c r="L1266" s="543"/>
      <c r="M1266" s="544"/>
      <c r="N1266" s="543"/>
      <c r="O1266" s="544"/>
      <c r="P1266" s="544"/>
      <c r="Q1266" s="544"/>
      <c r="R1266" s="544"/>
      <c r="S1266" s="544"/>
    </row>
    <row r="1267" ht="14.25" customHeight="1">
      <c r="A1267" s="542"/>
      <c r="B1267" s="543"/>
      <c r="C1267" s="543"/>
      <c r="D1267" s="544"/>
      <c r="E1267" s="544"/>
      <c r="F1267" s="544"/>
      <c r="G1267" s="544"/>
      <c r="H1267" s="544"/>
      <c r="I1267" s="543"/>
      <c r="J1267" s="543"/>
      <c r="K1267" s="544"/>
      <c r="L1267" s="543"/>
      <c r="M1267" s="544"/>
      <c r="N1267" s="543"/>
      <c r="O1267" s="544"/>
      <c r="P1267" s="544"/>
      <c r="Q1267" s="544"/>
      <c r="R1267" s="544"/>
      <c r="S1267" s="544"/>
    </row>
    <row r="1268" ht="14.25" customHeight="1">
      <c r="A1268" s="542"/>
      <c r="B1268" s="543"/>
      <c r="C1268" s="543"/>
      <c r="D1268" s="544"/>
      <c r="E1268" s="544"/>
      <c r="F1268" s="544"/>
      <c r="G1268" s="544"/>
      <c r="H1268" s="544"/>
      <c r="I1268" s="543"/>
      <c r="J1268" s="543"/>
      <c r="K1268" s="544"/>
      <c r="L1268" s="543"/>
      <c r="M1268" s="544"/>
      <c r="N1268" s="543"/>
      <c r="O1268" s="544"/>
      <c r="P1268" s="544"/>
      <c r="Q1268" s="544"/>
      <c r="R1268" s="544"/>
      <c r="S1268" s="544"/>
    </row>
    <row r="1269" ht="14.25" customHeight="1">
      <c r="A1269" s="542"/>
      <c r="B1269" s="543"/>
      <c r="C1269" s="543"/>
      <c r="D1269" s="544"/>
      <c r="E1269" s="544"/>
      <c r="F1269" s="544"/>
      <c r="G1269" s="544"/>
      <c r="H1269" s="544"/>
      <c r="I1269" s="543"/>
      <c r="J1269" s="543"/>
      <c r="K1269" s="544"/>
      <c r="L1269" s="543"/>
      <c r="M1269" s="544"/>
      <c r="N1269" s="543"/>
      <c r="O1269" s="544"/>
      <c r="P1269" s="544"/>
      <c r="Q1269" s="544"/>
      <c r="R1269" s="544"/>
      <c r="S1269" s="544"/>
    </row>
    <row r="1270" ht="14.25" customHeight="1">
      <c r="A1270" s="542"/>
      <c r="B1270" s="543"/>
      <c r="C1270" s="543"/>
      <c r="D1270" s="544"/>
      <c r="E1270" s="544"/>
      <c r="F1270" s="544"/>
      <c r="G1270" s="544"/>
      <c r="H1270" s="544"/>
      <c r="I1270" s="543"/>
      <c r="J1270" s="543"/>
      <c r="K1270" s="544"/>
      <c r="L1270" s="543"/>
      <c r="M1270" s="544"/>
      <c r="N1270" s="543"/>
      <c r="O1270" s="544"/>
      <c r="P1270" s="544"/>
      <c r="Q1270" s="544"/>
      <c r="R1270" s="544"/>
      <c r="S1270" s="544"/>
    </row>
    <row r="1271" ht="14.25" customHeight="1">
      <c r="A1271" s="542"/>
      <c r="B1271" s="543"/>
      <c r="C1271" s="543"/>
      <c r="D1271" s="544"/>
      <c r="E1271" s="544"/>
      <c r="F1271" s="544"/>
      <c r="G1271" s="544"/>
      <c r="H1271" s="544"/>
      <c r="I1271" s="543"/>
      <c r="J1271" s="543"/>
      <c r="K1271" s="544"/>
      <c r="L1271" s="543"/>
      <c r="M1271" s="544"/>
      <c r="N1271" s="543"/>
      <c r="O1271" s="544"/>
      <c r="P1271" s="544"/>
      <c r="Q1271" s="544"/>
      <c r="R1271" s="544"/>
      <c r="S1271" s="544"/>
    </row>
    <row r="1272" ht="14.25" customHeight="1">
      <c r="A1272" s="542"/>
      <c r="B1272" s="543"/>
      <c r="C1272" s="543"/>
      <c r="D1272" s="544"/>
      <c r="E1272" s="544"/>
      <c r="F1272" s="544"/>
      <c r="G1272" s="544"/>
      <c r="H1272" s="544"/>
      <c r="I1272" s="543"/>
      <c r="J1272" s="543"/>
      <c r="K1272" s="544"/>
      <c r="L1272" s="543"/>
      <c r="M1272" s="544"/>
      <c r="N1272" s="543"/>
      <c r="O1272" s="544"/>
      <c r="P1272" s="544"/>
      <c r="Q1272" s="544"/>
      <c r="R1272" s="544"/>
      <c r="S1272" s="544"/>
    </row>
    <row r="1273" ht="14.25" customHeight="1">
      <c r="A1273" s="542"/>
      <c r="B1273" s="543"/>
      <c r="C1273" s="543"/>
      <c r="D1273" s="544"/>
      <c r="E1273" s="544"/>
      <c r="F1273" s="544"/>
      <c r="G1273" s="544"/>
      <c r="H1273" s="544"/>
      <c r="I1273" s="543"/>
      <c r="J1273" s="543"/>
      <c r="K1273" s="544"/>
      <c r="L1273" s="543"/>
      <c r="M1273" s="544"/>
      <c r="N1273" s="543"/>
      <c r="O1273" s="544"/>
      <c r="P1273" s="544"/>
      <c r="Q1273" s="544"/>
      <c r="R1273" s="544"/>
      <c r="S1273" s="544"/>
    </row>
    <row r="1274" ht="14.25" customHeight="1">
      <c r="A1274" s="542"/>
      <c r="B1274" s="543"/>
      <c r="C1274" s="543"/>
      <c r="D1274" s="544"/>
      <c r="E1274" s="544"/>
      <c r="F1274" s="544"/>
      <c r="G1274" s="544"/>
      <c r="H1274" s="544"/>
      <c r="I1274" s="543"/>
      <c r="J1274" s="543"/>
      <c r="K1274" s="544"/>
      <c r="L1274" s="543"/>
      <c r="M1274" s="544"/>
      <c r="N1274" s="543"/>
      <c r="O1274" s="544"/>
      <c r="P1274" s="544"/>
      <c r="Q1274" s="544"/>
      <c r="R1274" s="544"/>
      <c r="S1274" s="544"/>
    </row>
    <row r="1275" ht="14.25" customHeight="1">
      <c r="A1275" s="542"/>
      <c r="B1275" s="543"/>
      <c r="C1275" s="543"/>
      <c r="D1275" s="544"/>
      <c r="E1275" s="544"/>
      <c r="F1275" s="544"/>
      <c r="G1275" s="544"/>
      <c r="H1275" s="544"/>
      <c r="I1275" s="543"/>
      <c r="J1275" s="543"/>
      <c r="K1275" s="544"/>
      <c r="L1275" s="543"/>
      <c r="M1275" s="544"/>
      <c r="N1275" s="543"/>
      <c r="O1275" s="544"/>
      <c r="P1275" s="544"/>
      <c r="Q1275" s="544"/>
      <c r="R1275" s="544"/>
      <c r="S1275" s="544"/>
    </row>
    <row r="1276" ht="14.25" customHeight="1">
      <c r="A1276" s="542"/>
      <c r="B1276" s="543"/>
      <c r="C1276" s="543"/>
      <c r="D1276" s="544"/>
      <c r="E1276" s="544"/>
      <c r="F1276" s="544"/>
      <c r="G1276" s="544"/>
      <c r="H1276" s="544"/>
      <c r="I1276" s="543"/>
      <c r="J1276" s="543"/>
      <c r="K1276" s="544"/>
      <c r="L1276" s="543"/>
      <c r="M1276" s="544"/>
      <c r="N1276" s="543"/>
      <c r="O1276" s="544"/>
      <c r="P1276" s="544"/>
      <c r="Q1276" s="544"/>
      <c r="R1276" s="544"/>
      <c r="S1276" s="544"/>
    </row>
    <row r="1277" ht="14.25" customHeight="1">
      <c r="A1277" s="542"/>
      <c r="B1277" s="543"/>
      <c r="C1277" s="543"/>
      <c r="D1277" s="544"/>
      <c r="E1277" s="544"/>
      <c r="F1277" s="544"/>
      <c r="G1277" s="544"/>
      <c r="H1277" s="544"/>
      <c r="I1277" s="543"/>
      <c r="J1277" s="543"/>
      <c r="K1277" s="544"/>
      <c r="L1277" s="543"/>
      <c r="M1277" s="544"/>
      <c r="N1277" s="543"/>
      <c r="O1277" s="544"/>
      <c r="P1277" s="544"/>
      <c r="Q1277" s="544"/>
      <c r="R1277" s="544"/>
      <c r="S1277" s="544"/>
    </row>
    <row r="1278" ht="14.25" customHeight="1">
      <c r="A1278" s="542"/>
      <c r="B1278" s="543"/>
      <c r="C1278" s="543"/>
      <c r="D1278" s="544"/>
      <c r="E1278" s="544"/>
      <c r="F1278" s="544"/>
      <c r="G1278" s="544"/>
      <c r="H1278" s="544"/>
      <c r="I1278" s="543"/>
      <c r="J1278" s="543"/>
      <c r="K1278" s="544"/>
      <c r="L1278" s="543"/>
      <c r="M1278" s="544"/>
      <c r="N1278" s="543"/>
      <c r="O1278" s="544"/>
      <c r="P1278" s="544"/>
      <c r="Q1278" s="544"/>
      <c r="R1278" s="544"/>
      <c r="S1278" s="544"/>
    </row>
    <row r="1279" ht="14.25" customHeight="1">
      <c r="A1279" s="542"/>
      <c r="B1279" s="543"/>
      <c r="C1279" s="543"/>
      <c r="D1279" s="544"/>
      <c r="E1279" s="544"/>
      <c r="F1279" s="544"/>
      <c r="G1279" s="544"/>
      <c r="H1279" s="544"/>
      <c r="I1279" s="543"/>
      <c r="J1279" s="543"/>
      <c r="K1279" s="544"/>
      <c r="L1279" s="543"/>
      <c r="M1279" s="544"/>
      <c r="N1279" s="543"/>
      <c r="O1279" s="544"/>
      <c r="P1279" s="544"/>
      <c r="Q1279" s="544"/>
      <c r="R1279" s="544"/>
      <c r="S1279" s="544"/>
    </row>
    <row r="1280" ht="14.25" customHeight="1">
      <c r="A1280" s="542"/>
      <c r="B1280" s="543"/>
      <c r="C1280" s="543"/>
      <c r="D1280" s="544"/>
      <c r="E1280" s="544"/>
      <c r="F1280" s="544"/>
      <c r="G1280" s="544"/>
      <c r="H1280" s="544"/>
      <c r="I1280" s="543"/>
      <c r="J1280" s="543"/>
      <c r="K1280" s="544"/>
      <c r="L1280" s="543"/>
      <c r="M1280" s="544"/>
      <c r="N1280" s="543"/>
      <c r="O1280" s="544"/>
      <c r="P1280" s="544"/>
      <c r="Q1280" s="544"/>
      <c r="R1280" s="544"/>
      <c r="S1280" s="544"/>
    </row>
    <row r="1281" ht="14.25" customHeight="1">
      <c r="A1281" s="542"/>
      <c r="B1281" s="543"/>
      <c r="C1281" s="543"/>
      <c r="D1281" s="544"/>
      <c r="E1281" s="544"/>
      <c r="F1281" s="544"/>
      <c r="G1281" s="544"/>
      <c r="H1281" s="544"/>
      <c r="I1281" s="543"/>
      <c r="J1281" s="543"/>
      <c r="K1281" s="544"/>
      <c r="L1281" s="543"/>
      <c r="M1281" s="544"/>
      <c r="N1281" s="543"/>
      <c r="O1281" s="544"/>
      <c r="P1281" s="544"/>
      <c r="Q1281" s="544"/>
      <c r="R1281" s="544"/>
      <c r="S1281" s="544"/>
    </row>
    <row r="1282" ht="14.25" customHeight="1">
      <c r="A1282" s="542"/>
      <c r="B1282" s="543"/>
      <c r="C1282" s="543"/>
      <c r="D1282" s="544"/>
      <c r="E1282" s="544"/>
      <c r="F1282" s="544"/>
      <c r="G1282" s="544"/>
      <c r="H1282" s="544"/>
      <c r="I1282" s="543"/>
      <c r="J1282" s="543"/>
      <c r="K1282" s="544"/>
      <c r="L1282" s="543"/>
      <c r="M1282" s="544"/>
      <c r="N1282" s="543"/>
      <c r="O1282" s="544"/>
      <c r="P1282" s="544"/>
      <c r="Q1282" s="544"/>
      <c r="R1282" s="544"/>
      <c r="S1282" s="544"/>
    </row>
    <row r="1283" ht="14.25" customHeight="1">
      <c r="A1283" s="542"/>
      <c r="B1283" s="543"/>
      <c r="C1283" s="543"/>
      <c r="D1283" s="544"/>
      <c r="E1283" s="544"/>
      <c r="F1283" s="544"/>
      <c r="G1283" s="544"/>
      <c r="H1283" s="544"/>
      <c r="I1283" s="543"/>
      <c r="J1283" s="543"/>
      <c r="K1283" s="544"/>
      <c r="L1283" s="543"/>
      <c r="M1283" s="544"/>
      <c r="N1283" s="543"/>
      <c r="O1283" s="544"/>
      <c r="P1283" s="544"/>
      <c r="Q1283" s="544"/>
      <c r="R1283" s="544"/>
      <c r="S1283" s="544"/>
    </row>
    <row r="1284" ht="14.25" customHeight="1">
      <c r="A1284" s="542"/>
      <c r="B1284" s="543"/>
      <c r="C1284" s="543"/>
      <c r="D1284" s="544"/>
      <c r="E1284" s="544"/>
      <c r="F1284" s="544"/>
      <c r="G1284" s="544"/>
      <c r="H1284" s="544"/>
      <c r="I1284" s="543"/>
      <c r="J1284" s="543"/>
      <c r="K1284" s="544"/>
      <c r="L1284" s="543"/>
      <c r="M1284" s="544"/>
      <c r="N1284" s="543"/>
      <c r="O1284" s="544"/>
      <c r="P1284" s="544"/>
      <c r="Q1284" s="544"/>
      <c r="R1284" s="544"/>
      <c r="S1284" s="544"/>
    </row>
    <row r="1285" ht="14.25" customHeight="1">
      <c r="A1285" s="542"/>
      <c r="B1285" s="543"/>
      <c r="C1285" s="543"/>
      <c r="D1285" s="544"/>
      <c r="E1285" s="544"/>
      <c r="F1285" s="544"/>
      <c r="G1285" s="544"/>
      <c r="H1285" s="544"/>
      <c r="I1285" s="543"/>
      <c r="J1285" s="543"/>
      <c r="K1285" s="544"/>
      <c r="L1285" s="543"/>
      <c r="M1285" s="544"/>
      <c r="N1285" s="543"/>
      <c r="O1285" s="544"/>
      <c r="P1285" s="544"/>
      <c r="Q1285" s="544"/>
      <c r="R1285" s="544"/>
      <c r="S1285" s="544"/>
    </row>
    <row r="1286" ht="14.25" customHeight="1">
      <c r="A1286" s="542"/>
      <c r="B1286" s="543"/>
      <c r="C1286" s="543"/>
      <c r="D1286" s="544"/>
      <c r="E1286" s="544"/>
      <c r="F1286" s="544"/>
      <c r="G1286" s="544"/>
      <c r="H1286" s="544"/>
      <c r="I1286" s="543"/>
      <c r="J1286" s="543"/>
      <c r="K1286" s="544"/>
      <c r="L1286" s="543"/>
      <c r="M1286" s="544"/>
      <c r="N1286" s="543"/>
      <c r="O1286" s="544"/>
      <c r="P1286" s="544"/>
      <c r="Q1286" s="544"/>
      <c r="R1286" s="544"/>
      <c r="S1286" s="544"/>
    </row>
    <row r="1287" ht="14.25" customHeight="1">
      <c r="A1287" s="542"/>
      <c r="B1287" s="543"/>
      <c r="C1287" s="543"/>
      <c r="D1287" s="544"/>
      <c r="E1287" s="544"/>
      <c r="F1287" s="544"/>
      <c r="G1287" s="544"/>
      <c r="H1287" s="544"/>
      <c r="I1287" s="543"/>
      <c r="J1287" s="543"/>
      <c r="K1287" s="544"/>
      <c r="L1287" s="543"/>
      <c r="M1287" s="544"/>
      <c r="N1287" s="543"/>
      <c r="O1287" s="544"/>
      <c r="P1287" s="544"/>
      <c r="Q1287" s="544"/>
      <c r="R1287" s="544"/>
      <c r="S1287" s="544"/>
    </row>
    <row r="1288" ht="14.25" customHeight="1">
      <c r="A1288" s="542"/>
      <c r="B1288" s="543"/>
      <c r="C1288" s="543"/>
      <c r="D1288" s="544"/>
      <c r="E1288" s="544"/>
      <c r="F1288" s="544"/>
      <c r="G1288" s="544"/>
      <c r="H1288" s="544"/>
      <c r="I1288" s="543"/>
      <c r="J1288" s="543"/>
      <c r="K1288" s="544"/>
      <c r="L1288" s="543"/>
      <c r="M1288" s="544"/>
      <c r="N1288" s="543"/>
      <c r="O1288" s="544"/>
      <c r="P1288" s="544"/>
      <c r="Q1288" s="544"/>
      <c r="R1288" s="544"/>
      <c r="S1288" s="544"/>
    </row>
    <row r="1289" ht="14.25" customHeight="1">
      <c r="A1289" s="542"/>
      <c r="B1289" s="543"/>
      <c r="C1289" s="543"/>
      <c r="D1289" s="544"/>
      <c r="E1289" s="544"/>
      <c r="F1289" s="544"/>
      <c r="G1289" s="544"/>
      <c r="H1289" s="544"/>
      <c r="I1289" s="543"/>
      <c r="J1289" s="543"/>
      <c r="K1289" s="544"/>
      <c r="L1289" s="543"/>
      <c r="M1289" s="544"/>
      <c r="N1289" s="543"/>
      <c r="O1289" s="544"/>
      <c r="P1289" s="544"/>
      <c r="Q1289" s="544"/>
      <c r="R1289" s="544"/>
      <c r="S1289" s="544"/>
    </row>
    <row r="1290" ht="14.25" customHeight="1">
      <c r="A1290" s="542"/>
      <c r="B1290" s="543"/>
      <c r="C1290" s="543"/>
      <c r="D1290" s="544"/>
      <c r="E1290" s="544"/>
      <c r="F1290" s="544"/>
      <c r="G1290" s="544"/>
      <c r="H1290" s="544"/>
      <c r="I1290" s="543"/>
      <c r="J1290" s="543"/>
      <c r="K1290" s="544"/>
      <c r="L1290" s="543"/>
      <c r="M1290" s="544"/>
      <c r="N1290" s="543"/>
      <c r="O1290" s="544"/>
      <c r="P1290" s="544"/>
      <c r="Q1290" s="544"/>
      <c r="R1290" s="544"/>
      <c r="S1290" s="544"/>
    </row>
    <row r="1291" ht="14.25" customHeight="1">
      <c r="A1291" s="542"/>
      <c r="B1291" s="543"/>
      <c r="C1291" s="543"/>
      <c r="D1291" s="544"/>
      <c r="E1291" s="544"/>
      <c r="F1291" s="544"/>
      <c r="G1291" s="544"/>
      <c r="H1291" s="544"/>
      <c r="I1291" s="543"/>
      <c r="J1291" s="543"/>
      <c r="K1291" s="544"/>
      <c r="L1291" s="543"/>
      <c r="M1291" s="544"/>
      <c r="N1291" s="543"/>
      <c r="O1291" s="544"/>
      <c r="P1291" s="544"/>
      <c r="Q1291" s="544"/>
      <c r="R1291" s="544"/>
      <c r="S1291" s="544"/>
    </row>
    <row r="1292" ht="14.25" customHeight="1">
      <c r="A1292" s="542"/>
      <c r="B1292" s="543"/>
      <c r="C1292" s="543"/>
      <c r="D1292" s="544"/>
      <c r="E1292" s="544"/>
      <c r="F1292" s="544"/>
      <c r="G1292" s="544"/>
      <c r="H1292" s="544"/>
      <c r="I1292" s="543"/>
      <c r="J1292" s="543"/>
      <c r="K1292" s="544"/>
      <c r="L1292" s="543"/>
      <c r="M1292" s="544"/>
      <c r="N1292" s="543"/>
      <c r="O1292" s="544"/>
      <c r="P1292" s="544"/>
      <c r="Q1292" s="544"/>
      <c r="R1292" s="544"/>
      <c r="S1292" s="544"/>
    </row>
    <row r="1293" ht="14.25" customHeight="1">
      <c r="A1293" s="542"/>
      <c r="B1293" s="543"/>
      <c r="C1293" s="543"/>
      <c r="D1293" s="544"/>
      <c r="E1293" s="544"/>
      <c r="F1293" s="544"/>
      <c r="G1293" s="544"/>
      <c r="H1293" s="544"/>
      <c r="I1293" s="543"/>
      <c r="J1293" s="543"/>
      <c r="K1293" s="544"/>
      <c r="L1293" s="543"/>
      <c r="M1293" s="544"/>
      <c r="N1293" s="543"/>
      <c r="O1293" s="544"/>
      <c r="P1293" s="544"/>
      <c r="Q1293" s="544"/>
      <c r="R1293" s="544"/>
      <c r="S1293" s="544"/>
    </row>
    <row r="1294" ht="14.25" customHeight="1">
      <c r="A1294" s="542"/>
      <c r="B1294" s="543"/>
      <c r="C1294" s="543"/>
      <c r="D1294" s="544"/>
      <c r="E1294" s="544"/>
      <c r="F1294" s="544"/>
      <c r="G1294" s="544"/>
      <c r="H1294" s="544"/>
      <c r="I1294" s="543"/>
      <c r="J1294" s="543"/>
      <c r="K1294" s="544"/>
      <c r="L1294" s="543"/>
      <c r="M1294" s="544"/>
      <c r="N1294" s="543"/>
      <c r="O1294" s="544"/>
      <c r="P1294" s="544"/>
      <c r="Q1294" s="544"/>
      <c r="R1294" s="544"/>
      <c r="S1294" s="544"/>
    </row>
    <row r="1295" ht="14.25" customHeight="1">
      <c r="A1295" s="542"/>
      <c r="B1295" s="543"/>
      <c r="C1295" s="543"/>
      <c r="D1295" s="544"/>
      <c r="E1295" s="544"/>
      <c r="F1295" s="544"/>
      <c r="G1295" s="544"/>
      <c r="H1295" s="544"/>
      <c r="I1295" s="543"/>
      <c r="J1295" s="543"/>
      <c r="K1295" s="544"/>
      <c r="L1295" s="543"/>
      <c r="M1295" s="544"/>
      <c r="N1295" s="543"/>
      <c r="O1295" s="544"/>
      <c r="P1295" s="544"/>
      <c r="Q1295" s="544"/>
      <c r="R1295" s="544"/>
      <c r="S1295" s="544"/>
    </row>
    <row r="1296" ht="14.25" customHeight="1">
      <c r="A1296" s="542"/>
      <c r="B1296" s="543"/>
      <c r="C1296" s="543"/>
      <c r="D1296" s="544"/>
      <c r="E1296" s="544"/>
      <c r="F1296" s="544"/>
      <c r="G1296" s="544"/>
      <c r="H1296" s="544"/>
      <c r="I1296" s="543"/>
      <c r="J1296" s="543"/>
      <c r="K1296" s="544"/>
      <c r="L1296" s="543"/>
      <c r="M1296" s="544"/>
      <c r="N1296" s="543"/>
      <c r="O1296" s="544"/>
      <c r="P1296" s="544"/>
      <c r="Q1296" s="544"/>
      <c r="R1296" s="544"/>
      <c r="S1296" s="544"/>
    </row>
    <row r="1297" ht="14.25" customHeight="1">
      <c r="A1297" s="542"/>
      <c r="B1297" s="543"/>
      <c r="C1297" s="543"/>
      <c r="D1297" s="544"/>
      <c r="E1297" s="544"/>
      <c r="F1297" s="544"/>
      <c r="G1297" s="544"/>
      <c r="H1297" s="544"/>
      <c r="I1297" s="543"/>
      <c r="J1297" s="543"/>
      <c r="K1297" s="544"/>
      <c r="L1297" s="543"/>
      <c r="M1297" s="544"/>
      <c r="N1297" s="543"/>
      <c r="O1297" s="544"/>
      <c r="P1297" s="544"/>
      <c r="Q1297" s="544"/>
      <c r="R1297" s="544"/>
      <c r="S1297" s="544"/>
    </row>
    <row r="1298" ht="14.25" customHeight="1">
      <c r="A1298" s="542"/>
      <c r="B1298" s="543"/>
      <c r="C1298" s="543"/>
      <c r="D1298" s="544"/>
      <c r="E1298" s="544"/>
      <c r="F1298" s="544"/>
      <c r="G1298" s="544"/>
      <c r="H1298" s="544"/>
      <c r="I1298" s="543"/>
      <c r="J1298" s="543"/>
      <c r="K1298" s="544"/>
      <c r="L1298" s="543"/>
      <c r="M1298" s="544"/>
      <c r="N1298" s="543"/>
      <c r="O1298" s="544"/>
      <c r="P1298" s="544"/>
      <c r="Q1298" s="544"/>
      <c r="R1298" s="544"/>
      <c r="S1298" s="544"/>
    </row>
    <row r="1299" ht="14.25" customHeight="1">
      <c r="A1299" s="542"/>
      <c r="B1299" s="543"/>
      <c r="C1299" s="543"/>
      <c r="D1299" s="544"/>
      <c r="E1299" s="544"/>
      <c r="F1299" s="544"/>
      <c r="G1299" s="544"/>
      <c r="H1299" s="544"/>
      <c r="I1299" s="543"/>
      <c r="J1299" s="543"/>
      <c r="K1299" s="544"/>
      <c r="L1299" s="543"/>
      <c r="M1299" s="544"/>
      <c r="N1299" s="543"/>
      <c r="O1299" s="544"/>
      <c r="P1299" s="544"/>
      <c r="Q1299" s="544"/>
      <c r="R1299" s="544"/>
      <c r="S1299" s="544"/>
    </row>
    <row r="1300" ht="14.25" customHeight="1">
      <c r="A1300" s="542"/>
      <c r="B1300" s="543"/>
      <c r="C1300" s="543"/>
      <c r="D1300" s="544"/>
      <c r="E1300" s="544"/>
      <c r="F1300" s="544"/>
      <c r="G1300" s="544"/>
      <c r="H1300" s="544"/>
      <c r="I1300" s="543"/>
      <c r="J1300" s="543"/>
      <c r="K1300" s="544"/>
      <c r="L1300" s="543"/>
      <c r="M1300" s="544"/>
      <c r="N1300" s="543"/>
      <c r="O1300" s="544"/>
      <c r="P1300" s="544"/>
      <c r="Q1300" s="544"/>
      <c r="R1300" s="544"/>
      <c r="S1300" s="544"/>
    </row>
    <row r="1301" ht="14.25" customHeight="1">
      <c r="A1301" s="542"/>
      <c r="B1301" s="543"/>
      <c r="C1301" s="543"/>
      <c r="D1301" s="544"/>
      <c r="E1301" s="544"/>
      <c r="F1301" s="544"/>
      <c r="G1301" s="544"/>
      <c r="H1301" s="544"/>
      <c r="I1301" s="543"/>
      <c r="J1301" s="543"/>
      <c r="K1301" s="544"/>
      <c r="L1301" s="543"/>
      <c r="M1301" s="544"/>
      <c r="N1301" s="543"/>
      <c r="O1301" s="544"/>
      <c r="P1301" s="544"/>
      <c r="Q1301" s="544"/>
      <c r="R1301" s="544"/>
      <c r="S1301" s="544"/>
    </row>
    <row r="1302" ht="14.25" customHeight="1">
      <c r="A1302" s="542"/>
      <c r="B1302" s="543"/>
      <c r="C1302" s="543"/>
      <c r="D1302" s="544"/>
      <c r="E1302" s="544"/>
      <c r="F1302" s="544"/>
      <c r="G1302" s="544"/>
      <c r="H1302" s="544"/>
      <c r="I1302" s="543"/>
      <c r="J1302" s="543"/>
      <c r="K1302" s="544"/>
      <c r="L1302" s="543"/>
      <c r="M1302" s="544"/>
      <c r="N1302" s="543"/>
      <c r="O1302" s="544"/>
      <c r="P1302" s="544"/>
      <c r="Q1302" s="544"/>
      <c r="R1302" s="544"/>
      <c r="S1302" s="544"/>
    </row>
    <row r="1303" ht="14.25" customHeight="1">
      <c r="A1303" s="542"/>
      <c r="B1303" s="543"/>
      <c r="C1303" s="543"/>
      <c r="D1303" s="544"/>
      <c r="E1303" s="544"/>
      <c r="F1303" s="544"/>
      <c r="G1303" s="544"/>
      <c r="H1303" s="544"/>
      <c r="I1303" s="543"/>
      <c r="J1303" s="543"/>
      <c r="K1303" s="544"/>
      <c r="L1303" s="543"/>
      <c r="M1303" s="544"/>
      <c r="N1303" s="543"/>
      <c r="O1303" s="544"/>
      <c r="P1303" s="544"/>
      <c r="Q1303" s="544"/>
      <c r="R1303" s="544"/>
      <c r="S1303" s="544"/>
    </row>
    <row r="1304" ht="14.25" customHeight="1">
      <c r="A1304" s="542"/>
      <c r="B1304" s="543"/>
      <c r="C1304" s="543"/>
      <c r="D1304" s="544"/>
      <c r="E1304" s="544"/>
      <c r="F1304" s="544"/>
      <c r="G1304" s="544"/>
      <c r="H1304" s="544"/>
      <c r="I1304" s="543"/>
      <c r="J1304" s="543"/>
      <c r="K1304" s="544"/>
      <c r="L1304" s="543"/>
      <c r="M1304" s="544"/>
      <c r="N1304" s="543"/>
      <c r="O1304" s="544"/>
      <c r="P1304" s="544"/>
      <c r="Q1304" s="544"/>
      <c r="R1304" s="544"/>
      <c r="S1304" s="544"/>
    </row>
    <row r="1305" ht="14.25" customHeight="1">
      <c r="A1305" s="542"/>
      <c r="B1305" s="543"/>
      <c r="C1305" s="543"/>
      <c r="D1305" s="544"/>
      <c r="E1305" s="544"/>
      <c r="F1305" s="544"/>
      <c r="G1305" s="544"/>
      <c r="H1305" s="544"/>
      <c r="I1305" s="543"/>
      <c r="J1305" s="543"/>
      <c r="K1305" s="544"/>
      <c r="L1305" s="543"/>
      <c r="M1305" s="544"/>
      <c r="N1305" s="543"/>
      <c r="O1305" s="544"/>
      <c r="P1305" s="544"/>
      <c r="Q1305" s="544"/>
      <c r="R1305" s="544"/>
      <c r="S1305" s="544"/>
    </row>
    <row r="1306" ht="14.25" customHeight="1">
      <c r="A1306" s="542"/>
      <c r="B1306" s="543"/>
      <c r="C1306" s="543"/>
      <c r="D1306" s="544"/>
      <c r="E1306" s="544"/>
      <c r="F1306" s="544"/>
      <c r="G1306" s="544"/>
      <c r="H1306" s="544"/>
      <c r="I1306" s="543"/>
      <c r="J1306" s="543"/>
      <c r="K1306" s="544"/>
      <c r="L1306" s="543"/>
      <c r="M1306" s="544"/>
      <c r="N1306" s="543"/>
      <c r="O1306" s="544"/>
      <c r="P1306" s="544"/>
      <c r="Q1306" s="544"/>
      <c r="R1306" s="544"/>
      <c r="S1306" s="544"/>
    </row>
    <row r="1307" ht="14.25" customHeight="1">
      <c r="A1307" s="542"/>
      <c r="B1307" s="543"/>
      <c r="C1307" s="543"/>
      <c r="D1307" s="544"/>
      <c r="E1307" s="544"/>
      <c r="F1307" s="544"/>
      <c r="G1307" s="544"/>
      <c r="H1307" s="544"/>
      <c r="I1307" s="543"/>
      <c r="J1307" s="543"/>
      <c r="K1307" s="544"/>
      <c r="L1307" s="543"/>
      <c r="M1307" s="544"/>
      <c r="N1307" s="543"/>
      <c r="O1307" s="544"/>
      <c r="P1307" s="544"/>
      <c r="Q1307" s="544"/>
      <c r="R1307" s="544"/>
      <c r="S1307" s="544"/>
    </row>
    <row r="1308" ht="14.25" customHeight="1">
      <c r="A1308" s="542"/>
      <c r="B1308" s="543"/>
      <c r="C1308" s="543"/>
      <c r="D1308" s="544"/>
      <c r="E1308" s="544"/>
      <c r="F1308" s="544"/>
      <c r="G1308" s="544"/>
      <c r="H1308" s="544"/>
      <c r="I1308" s="543"/>
      <c r="J1308" s="543"/>
      <c r="K1308" s="544"/>
      <c r="L1308" s="543"/>
      <c r="M1308" s="544"/>
      <c r="N1308" s="543"/>
      <c r="O1308" s="544"/>
      <c r="P1308" s="544"/>
      <c r="Q1308" s="544"/>
      <c r="R1308" s="544"/>
      <c r="S1308" s="544"/>
    </row>
    <row r="1309" ht="14.25" customHeight="1">
      <c r="A1309" s="542"/>
      <c r="B1309" s="543"/>
      <c r="C1309" s="543"/>
      <c r="D1309" s="544"/>
      <c r="E1309" s="544"/>
      <c r="F1309" s="544"/>
      <c r="G1309" s="544"/>
      <c r="H1309" s="544"/>
      <c r="I1309" s="543"/>
      <c r="J1309" s="543"/>
      <c r="K1309" s="544"/>
      <c r="L1309" s="543"/>
      <c r="M1309" s="544"/>
      <c r="N1309" s="543"/>
      <c r="O1309" s="544"/>
      <c r="P1309" s="544"/>
      <c r="Q1309" s="544"/>
      <c r="R1309" s="544"/>
      <c r="S1309" s="544"/>
    </row>
    <row r="1310" ht="14.25" customHeight="1">
      <c r="A1310" s="542"/>
      <c r="B1310" s="543"/>
      <c r="C1310" s="543"/>
      <c r="D1310" s="544"/>
      <c r="E1310" s="544"/>
      <c r="F1310" s="544"/>
      <c r="G1310" s="544"/>
      <c r="H1310" s="544"/>
      <c r="I1310" s="543"/>
      <c r="J1310" s="543"/>
      <c r="K1310" s="544"/>
      <c r="L1310" s="543"/>
      <c r="M1310" s="544"/>
      <c r="N1310" s="543"/>
      <c r="O1310" s="544"/>
      <c r="P1310" s="544"/>
      <c r="Q1310" s="544"/>
      <c r="R1310" s="544"/>
      <c r="S1310" s="544"/>
    </row>
    <row r="1311" ht="14.25" customHeight="1">
      <c r="A1311" s="542"/>
      <c r="B1311" s="543"/>
      <c r="C1311" s="543"/>
      <c r="D1311" s="544"/>
      <c r="E1311" s="544"/>
      <c r="F1311" s="544"/>
      <c r="G1311" s="544"/>
      <c r="H1311" s="544"/>
      <c r="I1311" s="543"/>
      <c r="J1311" s="543"/>
      <c r="K1311" s="544"/>
      <c r="L1311" s="543"/>
      <c r="M1311" s="544"/>
      <c r="N1311" s="543"/>
      <c r="O1311" s="544"/>
      <c r="P1311" s="544"/>
      <c r="Q1311" s="544"/>
      <c r="R1311" s="544"/>
      <c r="S1311" s="544"/>
    </row>
    <row r="1312" ht="14.25" customHeight="1">
      <c r="A1312" s="542"/>
      <c r="B1312" s="543"/>
      <c r="C1312" s="543"/>
      <c r="D1312" s="544"/>
      <c r="E1312" s="544"/>
      <c r="F1312" s="544"/>
      <c r="G1312" s="544"/>
      <c r="H1312" s="544"/>
      <c r="I1312" s="543"/>
      <c r="J1312" s="543"/>
      <c r="K1312" s="544"/>
      <c r="L1312" s="543"/>
      <c r="M1312" s="544"/>
      <c r="N1312" s="543"/>
      <c r="O1312" s="544"/>
      <c r="P1312" s="544"/>
      <c r="Q1312" s="544"/>
      <c r="R1312" s="544"/>
      <c r="S1312" s="544"/>
    </row>
    <row r="1313" ht="14.25" customHeight="1">
      <c r="A1313" s="542"/>
      <c r="B1313" s="543"/>
      <c r="C1313" s="543"/>
      <c r="D1313" s="544"/>
      <c r="E1313" s="544"/>
      <c r="F1313" s="544"/>
      <c r="G1313" s="544"/>
      <c r="H1313" s="544"/>
      <c r="I1313" s="543"/>
      <c r="J1313" s="543"/>
      <c r="K1313" s="544"/>
      <c r="L1313" s="543"/>
      <c r="M1313" s="544"/>
      <c r="N1313" s="543"/>
      <c r="O1313" s="544"/>
      <c r="P1313" s="544"/>
      <c r="Q1313" s="544"/>
      <c r="R1313" s="544"/>
      <c r="S1313" s="544"/>
    </row>
    <row r="1314" ht="14.25" customHeight="1">
      <c r="A1314" s="542"/>
      <c r="B1314" s="543"/>
      <c r="C1314" s="543"/>
      <c r="D1314" s="544"/>
      <c r="E1314" s="544"/>
      <c r="F1314" s="544"/>
      <c r="G1314" s="544"/>
      <c r="H1314" s="544"/>
      <c r="I1314" s="543"/>
      <c r="J1314" s="543"/>
      <c r="K1314" s="544"/>
      <c r="L1314" s="543"/>
      <c r="M1314" s="544"/>
      <c r="N1314" s="543"/>
      <c r="O1314" s="544"/>
      <c r="P1314" s="544"/>
      <c r="Q1314" s="544"/>
      <c r="R1314" s="544"/>
      <c r="S1314" s="544"/>
    </row>
    <row r="1315" ht="14.25" customHeight="1">
      <c r="A1315" s="542"/>
      <c r="B1315" s="543"/>
      <c r="C1315" s="543"/>
      <c r="D1315" s="544"/>
      <c r="E1315" s="544"/>
      <c r="F1315" s="544"/>
      <c r="G1315" s="544"/>
      <c r="H1315" s="544"/>
      <c r="I1315" s="543"/>
      <c r="J1315" s="543"/>
      <c r="K1315" s="544"/>
      <c r="L1315" s="543"/>
      <c r="M1315" s="544"/>
      <c r="N1315" s="543"/>
      <c r="O1315" s="544"/>
      <c r="P1315" s="544"/>
      <c r="Q1315" s="544"/>
      <c r="R1315" s="544"/>
      <c r="S1315" s="544"/>
    </row>
    <row r="1316" ht="14.25" customHeight="1">
      <c r="A1316" s="542"/>
      <c r="B1316" s="543"/>
      <c r="C1316" s="543"/>
      <c r="D1316" s="544"/>
      <c r="E1316" s="544"/>
      <c r="F1316" s="544"/>
      <c r="G1316" s="544"/>
      <c r="H1316" s="544"/>
      <c r="I1316" s="543"/>
      <c r="J1316" s="543"/>
      <c r="K1316" s="544"/>
      <c r="L1316" s="543"/>
      <c r="M1316" s="544"/>
      <c r="N1316" s="543"/>
      <c r="O1316" s="544"/>
      <c r="P1316" s="544"/>
      <c r="Q1316" s="544"/>
      <c r="R1316" s="544"/>
      <c r="S1316" s="544"/>
    </row>
    <row r="1317" ht="14.25" customHeight="1">
      <c r="A1317" s="542"/>
      <c r="B1317" s="543"/>
      <c r="C1317" s="543"/>
      <c r="D1317" s="544"/>
      <c r="E1317" s="544"/>
      <c r="F1317" s="544"/>
      <c r="G1317" s="544"/>
      <c r="H1317" s="544"/>
      <c r="I1317" s="543"/>
      <c r="J1317" s="543"/>
      <c r="K1317" s="544"/>
      <c r="L1317" s="543"/>
      <c r="M1317" s="544"/>
      <c r="N1317" s="543"/>
      <c r="O1317" s="544"/>
      <c r="P1317" s="544"/>
      <c r="Q1317" s="544"/>
      <c r="R1317" s="544"/>
      <c r="S1317" s="544"/>
    </row>
    <row r="1318" ht="14.25" customHeight="1">
      <c r="A1318" s="542"/>
      <c r="B1318" s="543"/>
      <c r="C1318" s="543"/>
      <c r="D1318" s="544"/>
      <c r="E1318" s="544"/>
      <c r="F1318" s="544"/>
      <c r="G1318" s="544"/>
      <c r="H1318" s="544"/>
      <c r="I1318" s="543"/>
      <c r="J1318" s="543"/>
      <c r="K1318" s="544"/>
      <c r="L1318" s="543"/>
      <c r="M1318" s="544"/>
      <c r="N1318" s="543"/>
      <c r="O1318" s="544"/>
      <c r="P1318" s="544"/>
      <c r="Q1318" s="544"/>
      <c r="R1318" s="544"/>
      <c r="S1318" s="544"/>
    </row>
    <row r="1319" ht="14.25" customHeight="1">
      <c r="A1319" s="542"/>
      <c r="B1319" s="543"/>
      <c r="C1319" s="543"/>
      <c r="D1319" s="544"/>
      <c r="E1319" s="544"/>
      <c r="F1319" s="544"/>
      <c r="G1319" s="544"/>
      <c r="H1319" s="544"/>
      <c r="I1319" s="543"/>
      <c r="J1319" s="543"/>
      <c r="K1319" s="544"/>
      <c r="L1319" s="543"/>
      <c r="M1319" s="544"/>
      <c r="N1319" s="543"/>
      <c r="O1319" s="544"/>
      <c r="P1319" s="544"/>
      <c r="Q1319" s="544"/>
      <c r="R1319" s="544"/>
      <c r="S1319" s="544"/>
    </row>
    <row r="1320" ht="14.25" customHeight="1">
      <c r="A1320" s="542"/>
      <c r="B1320" s="543"/>
      <c r="C1320" s="543"/>
      <c r="D1320" s="544"/>
      <c r="E1320" s="544"/>
      <c r="F1320" s="544"/>
      <c r="G1320" s="544"/>
      <c r="H1320" s="544"/>
      <c r="I1320" s="543"/>
      <c r="J1320" s="543"/>
      <c r="K1320" s="544"/>
      <c r="L1320" s="543"/>
      <c r="M1320" s="544"/>
      <c r="N1320" s="543"/>
      <c r="O1320" s="544"/>
      <c r="P1320" s="544"/>
      <c r="Q1320" s="544"/>
      <c r="R1320" s="544"/>
      <c r="S1320" s="544"/>
    </row>
    <row r="1321" ht="14.25" customHeight="1">
      <c r="A1321" s="542"/>
      <c r="B1321" s="543"/>
      <c r="C1321" s="543"/>
      <c r="D1321" s="544"/>
      <c r="E1321" s="544"/>
      <c r="F1321" s="544"/>
      <c r="G1321" s="544"/>
      <c r="H1321" s="544"/>
      <c r="I1321" s="543"/>
      <c r="J1321" s="543"/>
      <c r="K1321" s="544"/>
      <c r="L1321" s="543"/>
      <c r="M1321" s="544"/>
      <c r="N1321" s="543"/>
      <c r="O1321" s="544"/>
      <c r="P1321" s="544"/>
      <c r="Q1321" s="544"/>
      <c r="R1321" s="544"/>
      <c r="S1321" s="544"/>
    </row>
    <row r="1322" ht="14.25" customHeight="1">
      <c r="A1322" s="542"/>
      <c r="B1322" s="543"/>
      <c r="C1322" s="543"/>
      <c r="D1322" s="544"/>
      <c r="E1322" s="544"/>
      <c r="F1322" s="544"/>
      <c r="G1322" s="544"/>
      <c r="H1322" s="544"/>
      <c r="I1322" s="543"/>
      <c r="J1322" s="543"/>
      <c r="K1322" s="544"/>
      <c r="L1322" s="543"/>
      <c r="M1322" s="544"/>
      <c r="N1322" s="543"/>
      <c r="O1322" s="544"/>
      <c r="P1322" s="544"/>
      <c r="Q1322" s="544"/>
      <c r="R1322" s="544"/>
      <c r="S1322" s="544"/>
    </row>
    <row r="1323" ht="14.25" customHeight="1">
      <c r="A1323" s="542"/>
      <c r="B1323" s="543"/>
      <c r="C1323" s="543"/>
      <c r="D1323" s="544"/>
      <c r="E1323" s="544"/>
      <c r="F1323" s="544"/>
      <c r="G1323" s="544"/>
      <c r="H1323" s="544"/>
      <c r="I1323" s="543"/>
      <c r="J1323" s="543"/>
      <c r="K1323" s="544"/>
      <c r="L1323" s="543"/>
      <c r="M1323" s="544"/>
      <c r="N1323" s="543"/>
      <c r="O1323" s="544"/>
      <c r="P1323" s="544"/>
      <c r="Q1323" s="544"/>
      <c r="R1323" s="544"/>
      <c r="S1323" s="544"/>
    </row>
    <row r="1324" ht="14.25" customHeight="1">
      <c r="A1324" s="542"/>
      <c r="B1324" s="543"/>
      <c r="C1324" s="543"/>
      <c r="D1324" s="544"/>
      <c r="E1324" s="544"/>
      <c r="F1324" s="544"/>
      <c r="G1324" s="544"/>
      <c r="H1324" s="544"/>
      <c r="I1324" s="543"/>
      <c r="J1324" s="543"/>
      <c r="K1324" s="544"/>
      <c r="L1324" s="543"/>
      <c r="M1324" s="544"/>
      <c r="N1324" s="543"/>
      <c r="O1324" s="544"/>
      <c r="P1324" s="544"/>
      <c r="Q1324" s="544"/>
      <c r="R1324" s="544"/>
      <c r="S1324" s="544"/>
    </row>
    <row r="1325" ht="14.25" customHeight="1">
      <c r="A1325" s="542"/>
      <c r="B1325" s="543"/>
      <c r="C1325" s="543"/>
      <c r="D1325" s="544"/>
      <c r="E1325" s="544"/>
      <c r="F1325" s="544"/>
      <c r="G1325" s="544"/>
      <c r="H1325" s="544"/>
      <c r="I1325" s="543"/>
      <c r="J1325" s="543"/>
      <c r="K1325" s="544"/>
      <c r="L1325" s="543"/>
      <c r="M1325" s="544"/>
      <c r="N1325" s="543"/>
      <c r="O1325" s="544"/>
      <c r="P1325" s="544"/>
      <c r="Q1325" s="544"/>
      <c r="R1325" s="544"/>
      <c r="S1325" s="544"/>
    </row>
    <row r="1326" ht="14.25" customHeight="1">
      <c r="A1326" s="542"/>
      <c r="B1326" s="543"/>
      <c r="C1326" s="543"/>
      <c r="D1326" s="544"/>
      <c r="E1326" s="544"/>
      <c r="F1326" s="544"/>
      <c r="G1326" s="544"/>
      <c r="H1326" s="544"/>
      <c r="I1326" s="543"/>
      <c r="J1326" s="543"/>
      <c r="K1326" s="544"/>
      <c r="L1326" s="543"/>
      <c r="M1326" s="544"/>
      <c r="N1326" s="543"/>
      <c r="O1326" s="544"/>
      <c r="P1326" s="544"/>
      <c r="Q1326" s="544"/>
      <c r="R1326" s="544"/>
      <c r="S1326" s="544"/>
    </row>
    <row r="1327" ht="14.25" customHeight="1">
      <c r="A1327" s="542"/>
      <c r="B1327" s="543"/>
      <c r="C1327" s="543"/>
      <c r="D1327" s="544"/>
      <c r="E1327" s="544"/>
      <c r="F1327" s="544"/>
      <c r="G1327" s="544"/>
      <c r="H1327" s="544"/>
      <c r="I1327" s="543"/>
      <c r="J1327" s="543"/>
      <c r="K1327" s="544"/>
      <c r="L1327" s="543"/>
      <c r="M1327" s="544"/>
      <c r="N1327" s="543"/>
      <c r="O1327" s="544"/>
      <c r="P1327" s="544"/>
      <c r="Q1327" s="544"/>
      <c r="R1327" s="544"/>
      <c r="S1327" s="544"/>
    </row>
    <row r="1328" ht="14.25" customHeight="1">
      <c r="A1328" s="542"/>
      <c r="B1328" s="543"/>
      <c r="C1328" s="543"/>
      <c r="D1328" s="544"/>
      <c r="E1328" s="544"/>
      <c r="F1328" s="544"/>
      <c r="G1328" s="544"/>
      <c r="H1328" s="544"/>
      <c r="I1328" s="543"/>
      <c r="J1328" s="543"/>
      <c r="K1328" s="544"/>
      <c r="L1328" s="543"/>
      <c r="M1328" s="544"/>
      <c r="N1328" s="543"/>
      <c r="O1328" s="544"/>
      <c r="P1328" s="544"/>
      <c r="Q1328" s="544"/>
      <c r="R1328" s="544"/>
      <c r="S1328" s="544"/>
    </row>
    <row r="1329" ht="14.25" customHeight="1">
      <c r="A1329" s="542"/>
      <c r="B1329" s="543"/>
      <c r="C1329" s="543"/>
      <c r="D1329" s="544"/>
      <c r="E1329" s="544"/>
      <c r="F1329" s="544"/>
      <c r="G1329" s="544"/>
      <c r="H1329" s="544"/>
      <c r="I1329" s="543"/>
      <c r="J1329" s="543"/>
      <c r="K1329" s="544"/>
      <c r="L1329" s="543"/>
      <c r="M1329" s="544"/>
      <c r="N1329" s="543"/>
      <c r="O1329" s="544"/>
      <c r="P1329" s="544"/>
      <c r="Q1329" s="544"/>
      <c r="R1329" s="544"/>
      <c r="S1329" s="544"/>
    </row>
    <row r="1330" ht="14.25" customHeight="1">
      <c r="A1330" s="542"/>
      <c r="B1330" s="543"/>
      <c r="C1330" s="543"/>
      <c r="D1330" s="544"/>
      <c r="E1330" s="544"/>
      <c r="F1330" s="544"/>
      <c r="G1330" s="544"/>
      <c r="H1330" s="544"/>
      <c r="I1330" s="543"/>
      <c r="J1330" s="543"/>
      <c r="K1330" s="544"/>
      <c r="L1330" s="543"/>
      <c r="M1330" s="544"/>
      <c r="N1330" s="543"/>
      <c r="O1330" s="544"/>
      <c r="P1330" s="544"/>
      <c r="Q1330" s="544"/>
      <c r="R1330" s="544"/>
      <c r="S1330" s="544"/>
    </row>
    <row r="1331" ht="14.25" customHeight="1">
      <c r="A1331" s="542"/>
      <c r="B1331" s="543"/>
      <c r="C1331" s="543"/>
      <c r="D1331" s="544"/>
      <c r="E1331" s="544"/>
      <c r="F1331" s="544"/>
      <c r="G1331" s="544"/>
      <c r="H1331" s="544"/>
      <c r="I1331" s="543"/>
      <c r="J1331" s="543"/>
      <c r="K1331" s="544"/>
      <c r="L1331" s="543"/>
      <c r="M1331" s="544"/>
      <c r="N1331" s="543"/>
      <c r="O1331" s="544"/>
      <c r="P1331" s="544"/>
      <c r="Q1331" s="544"/>
      <c r="R1331" s="544"/>
      <c r="S1331" s="544"/>
    </row>
    <row r="1332" ht="14.25" customHeight="1">
      <c r="A1332" s="542"/>
      <c r="B1332" s="543"/>
      <c r="C1332" s="543"/>
      <c r="D1332" s="544"/>
      <c r="E1332" s="544"/>
      <c r="F1332" s="544"/>
      <c r="G1332" s="544"/>
      <c r="H1332" s="544"/>
      <c r="I1332" s="543"/>
      <c r="J1332" s="543"/>
      <c r="K1332" s="544"/>
      <c r="L1332" s="543"/>
      <c r="M1332" s="544"/>
      <c r="N1332" s="543"/>
      <c r="O1332" s="544"/>
      <c r="P1332" s="544"/>
      <c r="Q1332" s="544"/>
      <c r="R1332" s="544"/>
      <c r="S1332" s="544"/>
    </row>
    <row r="1333" ht="14.25" customHeight="1">
      <c r="A1333" s="542"/>
      <c r="B1333" s="543"/>
      <c r="C1333" s="543"/>
      <c r="D1333" s="544"/>
      <c r="E1333" s="544"/>
      <c r="F1333" s="544"/>
      <c r="G1333" s="544"/>
      <c r="H1333" s="544"/>
      <c r="I1333" s="543"/>
      <c r="J1333" s="543"/>
      <c r="K1333" s="544"/>
      <c r="L1333" s="543"/>
      <c r="M1333" s="544"/>
      <c r="N1333" s="543"/>
      <c r="O1333" s="544"/>
      <c r="P1333" s="544"/>
      <c r="Q1333" s="544"/>
      <c r="R1333" s="544"/>
      <c r="S1333" s="544"/>
    </row>
    <row r="1334" ht="14.25" customHeight="1">
      <c r="A1334" s="542"/>
      <c r="B1334" s="543"/>
      <c r="C1334" s="543"/>
      <c r="D1334" s="544"/>
      <c r="E1334" s="544"/>
      <c r="F1334" s="544"/>
      <c r="G1334" s="544"/>
      <c r="H1334" s="544"/>
      <c r="I1334" s="543"/>
      <c r="J1334" s="543"/>
      <c r="K1334" s="544"/>
      <c r="L1334" s="543"/>
      <c r="M1334" s="544"/>
      <c r="N1334" s="543"/>
      <c r="O1334" s="544"/>
      <c r="P1334" s="544"/>
      <c r="Q1334" s="544"/>
      <c r="R1334" s="544"/>
      <c r="S1334" s="544"/>
    </row>
    <row r="1335" ht="14.25" customHeight="1">
      <c r="A1335" s="542"/>
      <c r="B1335" s="543"/>
      <c r="C1335" s="543"/>
      <c r="D1335" s="544"/>
      <c r="E1335" s="544"/>
      <c r="F1335" s="544"/>
      <c r="G1335" s="544"/>
      <c r="H1335" s="544"/>
      <c r="I1335" s="543"/>
      <c r="J1335" s="543"/>
      <c r="K1335" s="544"/>
      <c r="L1335" s="543"/>
      <c r="M1335" s="544"/>
      <c r="N1335" s="543"/>
      <c r="O1335" s="544"/>
      <c r="P1335" s="544"/>
      <c r="Q1335" s="544"/>
      <c r="R1335" s="544"/>
      <c r="S1335" s="544"/>
    </row>
    <row r="1336" ht="14.25" customHeight="1">
      <c r="A1336" s="542"/>
      <c r="B1336" s="543"/>
      <c r="C1336" s="543"/>
      <c r="D1336" s="544"/>
      <c r="E1336" s="544"/>
      <c r="F1336" s="544"/>
      <c r="G1336" s="544"/>
      <c r="H1336" s="544"/>
      <c r="I1336" s="543"/>
      <c r="J1336" s="543"/>
      <c r="K1336" s="544"/>
      <c r="L1336" s="543"/>
      <c r="M1336" s="544"/>
      <c r="N1336" s="543"/>
      <c r="O1336" s="544"/>
      <c r="P1336" s="544"/>
      <c r="Q1336" s="544"/>
      <c r="R1336" s="544"/>
      <c r="S1336" s="544"/>
    </row>
    <row r="1337" ht="14.25" customHeight="1">
      <c r="A1337" s="542"/>
      <c r="B1337" s="543"/>
      <c r="C1337" s="543"/>
      <c r="D1337" s="544"/>
      <c r="E1337" s="544"/>
      <c r="F1337" s="544"/>
      <c r="G1337" s="544"/>
      <c r="H1337" s="544"/>
      <c r="I1337" s="543"/>
      <c r="J1337" s="543"/>
      <c r="K1337" s="544"/>
      <c r="L1337" s="543"/>
      <c r="M1337" s="544"/>
      <c r="N1337" s="543"/>
      <c r="O1337" s="544"/>
      <c r="P1337" s="544"/>
      <c r="Q1337" s="544"/>
      <c r="R1337" s="544"/>
      <c r="S1337" s="544"/>
    </row>
    <row r="1338" ht="14.25" customHeight="1">
      <c r="A1338" s="542"/>
      <c r="B1338" s="543"/>
      <c r="C1338" s="543"/>
      <c r="D1338" s="544"/>
      <c r="E1338" s="544"/>
      <c r="F1338" s="544"/>
      <c r="G1338" s="544"/>
      <c r="H1338" s="544"/>
      <c r="I1338" s="543"/>
      <c r="J1338" s="543"/>
      <c r="K1338" s="544"/>
      <c r="L1338" s="543"/>
      <c r="M1338" s="544"/>
      <c r="N1338" s="543"/>
      <c r="O1338" s="544"/>
      <c r="P1338" s="544"/>
      <c r="Q1338" s="544"/>
      <c r="R1338" s="544"/>
      <c r="S1338" s="544"/>
    </row>
    <row r="1339" ht="14.25" customHeight="1">
      <c r="A1339" s="542"/>
      <c r="B1339" s="543"/>
      <c r="C1339" s="543"/>
      <c r="D1339" s="544"/>
      <c r="E1339" s="544"/>
      <c r="F1339" s="544"/>
      <c r="G1339" s="544"/>
      <c r="H1339" s="544"/>
      <c r="I1339" s="543"/>
      <c r="J1339" s="543"/>
      <c r="K1339" s="544"/>
      <c r="L1339" s="543"/>
      <c r="M1339" s="544"/>
      <c r="N1339" s="543"/>
      <c r="O1339" s="544"/>
      <c r="P1339" s="544"/>
      <c r="Q1339" s="544"/>
      <c r="R1339" s="544"/>
      <c r="S1339" s="544"/>
    </row>
    <row r="1340" ht="14.25" customHeight="1">
      <c r="A1340" s="542"/>
      <c r="B1340" s="543"/>
      <c r="C1340" s="543"/>
      <c r="D1340" s="544"/>
      <c r="E1340" s="544"/>
      <c r="F1340" s="544"/>
      <c r="G1340" s="544"/>
      <c r="H1340" s="544"/>
      <c r="I1340" s="543"/>
      <c r="J1340" s="543"/>
      <c r="K1340" s="544"/>
      <c r="L1340" s="543"/>
      <c r="M1340" s="544"/>
      <c r="N1340" s="543"/>
      <c r="O1340" s="544"/>
      <c r="P1340" s="544"/>
      <c r="Q1340" s="544"/>
      <c r="R1340" s="544"/>
      <c r="S1340" s="544"/>
    </row>
    <row r="1341" ht="14.25" customHeight="1">
      <c r="A1341" s="542"/>
      <c r="B1341" s="543"/>
      <c r="C1341" s="543"/>
      <c r="D1341" s="544"/>
      <c r="E1341" s="544"/>
      <c r="F1341" s="544"/>
      <c r="G1341" s="544"/>
      <c r="H1341" s="544"/>
      <c r="I1341" s="543"/>
      <c r="J1341" s="543"/>
      <c r="K1341" s="544"/>
      <c r="L1341" s="543"/>
      <c r="M1341" s="544"/>
      <c r="N1341" s="543"/>
      <c r="O1341" s="544"/>
      <c r="P1341" s="544"/>
      <c r="Q1341" s="544"/>
      <c r="R1341" s="544"/>
      <c r="S1341" s="544"/>
    </row>
    <row r="1342" ht="14.25" customHeight="1">
      <c r="A1342" s="542"/>
      <c r="B1342" s="543"/>
      <c r="C1342" s="543"/>
      <c r="D1342" s="544"/>
      <c r="E1342" s="544"/>
      <c r="F1342" s="544"/>
      <c r="G1342" s="544"/>
      <c r="H1342" s="544"/>
      <c r="I1342" s="543"/>
      <c r="J1342" s="543"/>
      <c r="K1342" s="544"/>
      <c r="L1342" s="543"/>
      <c r="M1342" s="544"/>
      <c r="N1342" s="543"/>
      <c r="O1342" s="544"/>
      <c r="P1342" s="544"/>
      <c r="Q1342" s="544"/>
      <c r="R1342" s="544"/>
      <c r="S1342" s="544"/>
    </row>
    <row r="1343" ht="14.25" customHeight="1">
      <c r="A1343" s="542"/>
      <c r="B1343" s="543"/>
      <c r="C1343" s="543"/>
      <c r="D1343" s="544"/>
      <c r="E1343" s="544"/>
      <c r="F1343" s="544"/>
      <c r="G1343" s="544"/>
      <c r="H1343" s="544"/>
      <c r="I1343" s="543"/>
      <c r="J1343" s="543"/>
      <c r="K1343" s="544"/>
      <c r="L1343" s="543"/>
      <c r="M1343" s="544"/>
      <c r="N1343" s="543"/>
      <c r="O1343" s="544"/>
      <c r="P1343" s="544"/>
      <c r="Q1343" s="544"/>
      <c r="R1343" s="544"/>
      <c r="S1343" s="544"/>
    </row>
    <row r="1344" ht="14.25" customHeight="1">
      <c r="A1344" s="542"/>
      <c r="B1344" s="543"/>
      <c r="C1344" s="543"/>
      <c r="D1344" s="544"/>
      <c r="E1344" s="544"/>
      <c r="F1344" s="544"/>
      <c r="G1344" s="544"/>
      <c r="H1344" s="544"/>
      <c r="I1344" s="543"/>
      <c r="J1344" s="543"/>
      <c r="K1344" s="544"/>
      <c r="L1344" s="543"/>
      <c r="M1344" s="544"/>
      <c r="N1344" s="543"/>
      <c r="O1344" s="544"/>
      <c r="P1344" s="544"/>
      <c r="Q1344" s="544"/>
      <c r="R1344" s="544"/>
      <c r="S1344" s="544"/>
    </row>
    <row r="1345" ht="14.25" customHeight="1">
      <c r="A1345" s="542"/>
      <c r="B1345" s="543"/>
      <c r="C1345" s="543"/>
      <c r="D1345" s="544"/>
      <c r="E1345" s="544"/>
      <c r="F1345" s="544"/>
      <c r="G1345" s="544"/>
      <c r="H1345" s="544"/>
      <c r="I1345" s="543"/>
      <c r="J1345" s="543"/>
      <c r="K1345" s="544"/>
      <c r="L1345" s="543"/>
      <c r="M1345" s="544"/>
      <c r="N1345" s="543"/>
      <c r="O1345" s="544"/>
      <c r="P1345" s="544"/>
      <c r="Q1345" s="544"/>
      <c r="R1345" s="544"/>
      <c r="S1345" s="544"/>
    </row>
    <row r="1346" ht="14.25" customHeight="1">
      <c r="A1346" s="542"/>
      <c r="B1346" s="543"/>
      <c r="C1346" s="543"/>
      <c r="D1346" s="544"/>
      <c r="E1346" s="544"/>
      <c r="F1346" s="544"/>
      <c r="G1346" s="544"/>
      <c r="H1346" s="544"/>
      <c r="I1346" s="543"/>
      <c r="J1346" s="543"/>
      <c r="K1346" s="544"/>
      <c r="L1346" s="543"/>
      <c r="M1346" s="544"/>
      <c r="N1346" s="543"/>
      <c r="O1346" s="544"/>
      <c r="P1346" s="544"/>
      <c r="Q1346" s="544"/>
      <c r="R1346" s="544"/>
      <c r="S1346" s="544"/>
    </row>
    <row r="1347" ht="14.25" customHeight="1">
      <c r="A1347" s="542"/>
      <c r="B1347" s="543"/>
      <c r="C1347" s="543"/>
      <c r="D1347" s="544"/>
      <c r="E1347" s="544"/>
      <c r="F1347" s="544"/>
      <c r="G1347" s="544"/>
      <c r="H1347" s="544"/>
      <c r="I1347" s="543"/>
      <c r="J1347" s="543"/>
      <c r="K1347" s="544"/>
      <c r="L1347" s="543"/>
      <c r="M1347" s="544"/>
      <c r="N1347" s="543"/>
      <c r="O1347" s="544"/>
      <c r="P1347" s="544"/>
      <c r="Q1347" s="544"/>
      <c r="R1347" s="544"/>
      <c r="S1347" s="544"/>
    </row>
    <row r="1348" ht="14.25" customHeight="1">
      <c r="A1348" s="542"/>
      <c r="B1348" s="543"/>
      <c r="C1348" s="543"/>
      <c r="D1348" s="544"/>
      <c r="E1348" s="544"/>
      <c r="F1348" s="544"/>
      <c r="G1348" s="544"/>
      <c r="H1348" s="544"/>
      <c r="I1348" s="543"/>
      <c r="J1348" s="543"/>
      <c r="K1348" s="544"/>
      <c r="L1348" s="543"/>
      <c r="M1348" s="544"/>
      <c r="N1348" s="543"/>
      <c r="O1348" s="544"/>
      <c r="P1348" s="544"/>
      <c r="Q1348" s="544"/>
      <c r="R1348" s="544"/>
      <c r="S1348" s="544"/>
    </row>
    <row r="1349" ht="14.25" customHeight="1">
      <c r="A1349" s="542"/>
      <c r="B1349" s="543"/>
      <c r="C1349" s="543"/>
      <c r="D1349" s="544"/>
      <c r="E1349" s="544"/>
      <c r="F1349" s="544"/>
      <c r="G1349" s="544"/>
      <c r="H1349" s="544"/>
      <c r="I1349" s="543"/>
      <c r="J1349" s="543"/>
      <c r="K1349" s="544"/>
      <c r="L1349" s="543"/>
      <c r="M1349" s="544"/>
      <c r="N1349" s="543"/>
      <c r="O1349" s="544"/>
      <c r="P1349" s="544"/>
      <c r="Q1349" s="544"/>
      <c r="R1349" s="544"/>
      <c r="S1349" s="544"/>
    </row>
    <row r="1350" ht="14.25" customHeight="1">
      <c r="A1350" s="542"/>
      <c r="B1350" s="543"/>
      <c r="C1350" s="543"/>
      <c r="D1350" s="544"/>
      <c r="E1350" s="544"/>
      <c r="F1350" s="544"/>
      <c r="G1350" s="544"/>
      <c r="H1350" s="544"/>
      <c r="I1350" s="543"/>
      <c r="J1350" s="543"/>
      <c r="K1350" s="544"/>
      <c r="L1350" s="543"/>
      <c r="M1350" s="544"/>
      <c r="N1350" s="543"/>
      <c r="O1350" s="544"/>
      <c r="P1350" s="544"/>
      <c r="Q1350" s="544"/>
      <c r="R1350" s="544"/>
      <c r="S1350" s="544"/>
    </row>
    <row r="1351" ht="14.25" customHeight="1">
      <c r="A1351" s="542"/>
      <c r="B1351" s="543"/>
      <c r="C1351" s="543"/>
      <c r="D1351" s="544"/>
      <c r="E1351" s="544"/>
      <c r="F1351" s="544"/>
      <c r="G1351" s="544"/>
      <c r="H1351" s="544"/>
      <c r="I1351" s="543"/>
      <c r="J1351" s="543"/>
      <c r="K1351" s="544"/>
      <c r="L1351" s="543"/>
      <c r="M1351" s="544"/>
      <c r="N1351" s="543"/>
      <c r="O1351" s="544"/>
      <c r="P1351" s="544"/>
      <c r="Q1351" s="544"/>
      <c r="R1351" s="544"/>
      <c r="S1351" s="544"/>
    </row>
    <row r="1352" ht="14.25" customHeight="1">
      <c r="A1352" s="542"/>
      <c r="B1352" s="543"/>
      <c r="C1352" s="543"/>
      <c r="D1352" s="544"/>
      <c r="E1352" s="544"/>
      <c r="F1352" s="544"/>
      <c r="G1352" s="544"/>
      <c r="H1352" s="544"/>
      <c r="I1352" s="543"/>
      <c r="J1352" s="543"/>
      <c r="K1352" s="544"/>
      <c r="L1352" s="543"/>
      <c r="M1352" s="544"/>
      <c r="N1352" s="543"/>
      <c r="O1352" s="544"/>
      <c r="P1352" s="544"/>
      <c r="Q1352" s="544"/>
      <c r="R1352" s="544"/>
      <c r="S1352" s="544"/>
    </row>
    <row r="1353" ht="14.25" customHeight="1">
      <c r="A1353" s="542"/>
      <c r="B1353" s="543"/>
      <c r="C1353" s="543"/>
      <c r="D1353" s="544"/>
      <c r="E1353" s="544"/>
      <c r="F1353" s="544"/>
      <c r="G1353" s="544"/>
      <c r="H1353" s="544"/>
      <c r="I1353" s="543"/>
      <c r="J1353" s="543"/>
      <c r="K1353" s="544"/>
      <c r="L1353" s="543"/>
      <c r="M1353" s="544"/>
      <c r="N1353" s="543"/>
      <c r="O1353" s="544"/>
      <c r="P1353" s="544"/>
      <c r="Q1353" s="544"/>
      <c r="R1353" s="544"/>
      <c r="S1353" s="544"/>
    </row>
    <row r="1354" ht="14.25" customHeight="1">
      <c r="A1354" s="542"/>
      <c r="B1354" s="543"/>
      <c r="C1354" s="543"/>
      <c r="D1354" s="544"/>
      <c r="E1354" s="544"/>
      <c r="F1354" s="544"/>
      <c r="G1354" s="544"/>
      <c r="H1354" s="544"/>
      <c r="I1354" s="543"/>
      <c r="J1354" s="543"/>
      <c r="K1354" s="544"/>
      <c r="L1354" s="543"/>
      <c r="M1354" s="544"/>
      <c r="N1354" s="543"/>
      <c r="O1354" s="544"/>
      <c r="P1354" s="544"/>
      <c r="Q1354" s="544"/>
      <c r="R1354" s="544"/>
      <c r="S1354" s="544"/>
    </row>
    <row r="1355" ht="14.25" customHeight="1">
      <c r="A1355" s="542"/>
      <c r="B1355" s="543"/>
      <c r="C1355" s="543"/>
      <c r="D1355" s="544"/>
      <c r="E1355" s="544"/>
      <c r="F1355" s="544"/>
      <c r="G1355" s="544"/>
      <c r="H1355" s="544"/>
      <c r="I1355" s="543"/>
      <c r="J1355" s="543"/>
      <c r="K1355" s="544"/>
      <c r="L1355" s="543"/>
      <c r="M1355" s="544"/>
      <c r="N1355" s="543"/>
      <c r="O1355" s="544"/>
      <c r="P1355" s="544"/>
      <c r="Q1355" s="544"/>
      <c r="R1355" s="544"/>
      <c r="S1355" s="544"/>
    </row>
    <row r="1356" ht="14.25" customHeight="1">
      <c r="A1356" s="542"/>
      <c r="B1356" s="543"/>
      <c r="C1356" s="543"/>
      <c r="D1356" s="544"/>
      <c r="E1356" s="544"/>
      <c r="F1356" s="544"/>
      <c r="G1356" s="544"/>
      <c r="H1356" s="544"/>
      <c r="I1356" s="543"/>
      <c r="J1356" s="543"/>
      <c r="K1356" s="544"/>
      <c r="L1356" s="543"/>
      <c r="M1356" s="544"/>
      <c r="N1356" s="543"/>
      <c r="O1356" s="544"/>
      <c r="P1356" s="544"/>
      <c r="Q1356" s="544"/>
      <c r="R1356" s="544"/>
      <c r="S1356" s="544"/>
    </row>
    <row r="1357" ht="14.25" customHeight="1">
      <c r="A1357" s="542"/>
      <c r="B1357" s="543"/>
      <c r="C1357" s="543"/>
      <c r="D1357" s="544"/>
      <c r="E1357" s="544"/>
      <c r="F1357" s="544"/>
      <c r="G1357" s="544"/>
      <c r="H1357" s="544"/>
      <c r="I1357" s="543"/>
      <c r="J1357" s="543"/>
      <c r="K1357" s="544"/>
      <c r="L1357" s="543"/>
      <c r="M1357" s="544"/>
      <c r="N1357" s="543"/>
      <c r="O1357" s="544"/>
      <c r="P1357" s="544"/>
      <c r="Q1357" s="544"/>
      <c r="R1357" s="544"/>
      <c r="S1357" s="544"/>
    </row>
    <row r="1358" ht="14.25" customHeight="1">
      <c r="A1358" s="542"/>
      <c r="B1358" s="543"/>
      <c r="C1358" s="543"/>
      <c r="D1358" s="544"/>
      <c r="E1358" s="544"/>
      <c r="F1358" s="544"/>
      <c r="G1358" s="544"/>
      <c r="H1358" s="544"/>
      <c r="I1358" s="543"/>
      <c r="J1358" s="543"/>
      <c r="K1358" s="544"/>
      <c r="L1358" s="543"/>
      <c r="M1358" s="544"/>
      <c r="N1358" s="543"/>
      <c r="O1358" s="544"/>
      <c r="P1358" s="544"/>
      <c r="Q1358" s="544"/>
      <c r="R1358" s="544"/>
      <c r="S1358" s="544"/>
    </row>
    <row r="1359" ht="14.25" customHeight="1">
      <c r="A1359" s="542"/>
      <c r="B1359" s="543"/>
      <c r="C1359" s="543"/>
      <c r="D1359" s="544"/>
      <c r="E1359" s="544"/>
      <c r="F1359" s="544"/>
      <c r="G1359" s="544"/>
      <c r="H1359" s="544"/>
      <c r="I1359" s="543"/>
      <c r="J1359" s="543"/>
      <c r="K1359" s="544"/>
      <c r="L1359" s="543"/>
      <c r="M1359" s="544"/>
      <c r="N1359" s="543"/>
      <c r="O1359" s="544"/>
      <c r="P1359" s="544"/>
      <c r="Q1359" s="544"/>
      <c r="R1359" s="544"/>
      <c r="S1359" s="544"/>
    </row>
    <row r="1360" ht="14.25" customHeight="1">
      <c r="A1360" s="542"/>
      <c r="B1360" s="543"/>
      <c r="C1360" s="543"/>
      <c r="D1360" s="544"/>
      <c r="E1360" s="544"/>
      <c r="F1360" s="544"/>
      <c r="G1360" s="544"/>
      <c r="H1360" s="544"/>
      <c r="I1360" s="543"/>
      <c r="J1360" s="543"/>
      <c r="K1360" s="544"/>
      <c r="L1360" s="543"/>
      <c r="M1360" s="544"/>
      <c r="N1360" s="543"/>
      <c r="O1360" s="544"/>
      <c r="P1360" s="544"/>
      <c r="Q1360" s="544"/>
      <c r="R1360" s="544"/>
      <c r="S1360" s="544"/>
    </row>
    <row r="1361" ht="14.25" customHeight="1">
      <c r="A1361" s="542"/>
      <c r="B1361" s="543"/>
      <c r="C1361" s="543"/>
      <c r="D1361" s="544"/>
      <c r="E1361" s="544"/>
      <c r="F1361" s="544"/>
      <c r="G1361" s="544"/>
      <c r="H1361" s="544"/>
      <c r="I1361" s="543"/>
      <c r="J1361" s="543"/>
      <c r="K1361" s="544"/>
      <c r="L1361" s="543"/>
      <c r="M1361" s="544"/>
      <c r="N1361" s="543"/>
      <c r="O1361" s="544"/>
      <c r="P1361" s="544"/>
      <c r="Q1361" s="544"/>
      <c r="R1361" s="544"/>
      <c r="S1361" s="544"/>
    </row>
    <row r="1362" ht="14.25" customHeight="1">
      <c r="A1362" s="542"/>
      <c r="B1362" s="543"/>
      <c r="C1362" s="543"/>
      <c r="D1362" s="544"/>
      <c r="E1362" s="544"/>
      <c r="F1362" s="544"/>
      <c r="G1362" s="544"/>
      <c r="H1362" s="544"/>
      <c r="I1362" s="543"/>
      <c r="J1362" s="543"/>
      <c r="K1362" s="544"/>
      <c r="L1362" s="543"/>
      <c r="M1362" s="544"/>
      <c r="N1362" s="543"/>
      <c r="O1362" s="544"/>
      <c r="P1362" s="544"/>
      <c r="Q1362" s="544"/>
      <c r="R1362" s="544"/>
      <c r="S1362" s="544"/>
    </row>
    <row r="1363" ht="14.25" customHeight="1">
      <c r="A1363" s="542"/>
      <c r="B1363" s="543"/>
      <c r="C1363" s="543"/>
      <c r="D1363" s="544"/>
      <c r="E1363" s="544"/>
      <c r="F1363" s="544"/>
      <c r="G1363" s="544"/>
      <c r="H1363" s="544"/>
      <c r="I1363" s="543"/>
      <c r="J1363" s="543"/>
      <c r="K1363" s="544"/>
      <c r="L1363" s="543"/>
      <c r="M1363" s="544"/>
      <c r="N1363" s="543"/>
      <c r="O1363" s="544"/>
      <c r="P1363" s="544"/>
      <c r="Q1363" s="544"/>
      <c r="R1363" s="544"/>
      <c r="S1363" s="544"/>
    </row>
    <row r="1364" ht="14.25" customHeight="1">
      <c r="A1364" s="542"/>
      <c r="B1364" s="543"/>
      <c r="C1364" s="543"/>
      <c r="D1364" s="544"/>
      <c r="E1364" s="544"/>
      <c r="F1364" s="544"/>
      <c r="G1364" s="544"/>
      <c r="H1364" s="544"/>
      <c r="I1364" s="543"/>
      <c r="J1364" s="543"/>
      <c r="K1364" s="544"/>
      <c r="L1364" s="543"/>
      <c r="M1364" s="544"/>
      <c r="N1364" s="543"/>
      <c r="O1364" s="544"/>
      <c r="P1364" s="544"/>
      <c r="Q1364" s="544"/>
      <c r="R1364" s="544"/>
      <c r="S1364" s="544"/>
    </row>
    <row r="1365" ht="14.25" customHeight="1">
      <c r="A1365" s="542"/>
      <c r="B1365" s="543"/>
      <c r="C1365" s="543"/>
      <c r="D1365" s="544"/>
      <c r="E1365" s="544"/>
      <c r="F1365" s="544"/>
      <c r="G1365" s="544"/>
      <c r="H1365" s="544"/>
      <c r="I1365" s="543"/>
      <c r="J1365" s="543"/>
      <c r="K1365" s="544"/>
      <c r="L1365" s="543"/>
      <c r="M1365" s="544"/>
      <c r="N1365" s="543"/>
      <c r="O1365" s="544"/>
      <c r="P1365" s="544"/>
      <c r="Q1365" s="544"/>
      <c r="R1365" s="544"/>
      <c r="S1365" s="544"/>
    </row>
    <row r="1366" ht="14.25" customHeight="1">
      <c r="A1366" s="542"/>
      <c r="B1366" s="543"/>
      <c r="C1366" s="543"/>
      <c r="D1366" s="544"/>
      <c r="E1366" s="544"/>
      <c r="F1366" s="544"/>
      <c r="G1366" s="544"/>
      <c r="H1366" s="544"/>
      <c r="I1366" s="543"/>
      <c r="J1366" s="543"/>
      <c r="K1366" s="544"/>
      <c r="L1366" s="543"/>
      <c r="M1366" s="544"/>
      <c r="N1366" s="543"/>
      <c r="O1366" s="544"/>
      <c r="P1366" s="544"/>
      <c r="Q1366" s="544"/>
      <c r="R1366" s="544"/>
      <c r="S1366" s="544"/>
    </row>
    <row r="1367" ht="14.25" customHeight="1">
      <c r="A1367" s="542"/>
      <c r="B1367" s="543"/>
      <c r="C1367" s="543"/>
      <c r="D1367" s="544"/>
      <c r="E1367" s="544"/>
      <c r="F1367" s="544"/>
      <c r="G1367" s="544"/>
      <c r="H1367" s="544"/>
      <c r="I1367" s="543"/>
      <c r="J1367" s="543"/>
      <c r="K1367" s="544"/>
      <c r="L1367" s="543"/>
      <c r="M1367" s="544"/>
      <c r="N1367" s="543"/>
      <c r="O1367" s="544"/>
      <c r="P1367" s="544"/>
      <c r="Q1367" s="544"/>
      <c r="R1367" s="544"/>
      <c r="S1367" s="544"/>
    </row>
    <row r="1368" ht="14.25" customHeight="1">
      <c r="A1368" s="542"/>
      <c r="B1368" s="543"/>
      <c r="C1368" s="543"/>
      <c r="D1368" s="544"/>
      <c r="E1368" s="544"/>
      <c r="F1368" s="544"/>
      <c r="G1368" s="544"/>
      <c r="H1368" s="544"/>
      <c r="I1368" s="543"/>
      <c r="J1368" s="543"/>
      <c r="K1368" s="544"/>
      <c r="L1368" s="543"/>
      <c r="M1368" s="544"/>
      <c r="N1368" s="543"/>
      <c r="O1368" s="544"/>
      <c r="P1368" s="544"/>
      <c r="Q1368" s="544"/>
      <c r="R1368" s="544"/>
      <c r="S1368" s="544"/>
    </row>
    <row r="1369" ht="14.25" customHeight="1">
      <c r="A1369" s="542"/>
      <c r="B1369" s="543"/>
      <c r="C1369" s="543"/>
      <c r="D1369" s="544"/>
      <c r="E1369" s="544"/>
      <c r="F1369" s="544"/>
      <c r="G1369" s="544"/>
      <c r="H1369" s="544"/>
      <c r="I1369" s="543"/>
      <c r="J1369" s="543"/>
      <c r="K1369" s="544"/>
      <c r="L1369" s="543"/>
      <c r="M1369" s="544"/>
      <c r="N1369" s="543"/>
      <c r="O1369" s="544"/>
      <c r="P1369" s="544"/>
      <c r="Q1369" s="544"/>
      <c r="R1369" s="544"/>
      <c r="S1369" s="544"/>
    </row>
    <row r="1370" ht="14.25" customHeight="1">
      <c r="A1370" s="542"/>
      <c r="B1370" s="543"/>
      <c r="C1370" s="543"/>
      <c r="D1370" s="544"/>
      <c r="E1370" s="544"/>
      <c r="F1370" s="544"/>
      <c r="G1370" s="544"/>
      <c r="H1370" s="544"/>
      <c r="I1370" s="543"/>
      <c r="J1370" s="543"/>
      <c r="K1370" s="544"/>
      <c r="L1370" s="543"/>
      <c r="M1370" s="544"/>
      <c r="N1370" s="543"/>
      <c r="O1370" s="544"/>
      <c r="P1370" s="544"/>
      <c r="Q1370" s="544"/>
      <c r="R1370" s="544"/>
      <c r="S1370" s="544"/>
    </row>
    <row r="1371" ht="14.25" customHeight="1">
      <c r="A1371" s="542"/>
      <c r="B1371" s="543"/>
      <c r="C1371" s="543"/>
      <c r="D1371" s="544"/>
      <c r="E1371" s="544"/>
      <c r="F1371" s="544"/>
      <c r="G1371" s="544"/>
      <c r="H1371" s="544"/>
      <c r="I1371" s="543"/>
      <c r="J1371" s="543"/>
      <c r="K1371" s="544"/>
      <c r="L1371" s="543"/>
      <c r="M1371" s="544"/>
      <c r="N1371" s="543"/>
      <c r="O1371" s="544"/>
      <c r="P1371" s="544"/>
      <c r="Q1371" s="544"/>
      <c r="R1371" s="544"/>
      <c r="S1371" s="544"/>
    </row>
    <row r="1372" ht="14.25" customHeight="1">
      <c r="A1372" s="542"/>
      <c r="B1372" s="543"/>
      <c r="C1372" s="543"/>
      <c r="D1372" s="544"/>
      <c r="E1372" s="544"/>
      <c r="F1372" s="544"/>
      <c r="G1372" s="544"/>
      <c r="H1372" s="544"/>
      <c r="I1372" s="543"/>
      <c r="J1372" s="543"/>
      <c r="K1372" s="544"/>
      <c r="L1372" s="543"/>
      <c r="M1372" s="544"/>
      <c r="N1372" s="543"/>
      <c r="O1372" s="544"/>
      <c r="P1372" s="544"/>
      <c r="Q1372" s="544"/>
      <c r="R1372" s="544"/>
      <c r="S1372" s="544"/>
    </row>
    <row r="1373" ht="14.25" customHeight="1">
      <c r="A1373" s="542"/>
      <c r="B1373" s="543"/>
      <c r="C1373" s="543"/>
      <c r="D1373" s="544"/>
      <c r="E1373" s="544"/>
      <c r="F1373" s="544"/>
      <c r="G1373" s="544"/>
      <c r="H1373" s="544"/>
      <c r="I1373" s="543"/>
      <c r="J1373" s="543"/>
      <c r="K1373" s="544"/>
      <c r="L1373" s="543"/>
      <c r="M1373" s="544"/>
      <c r="N1373" s="543"/>
      <c r="O1373" s="544"/>
      <c r="P1373" s="544"/>
      <c r="Q1373" s="544"/>
      <c r="R1373" s="544"/>
      <c r="S1373" s="544"/>
    </row>
    <row r="1374" ht="14.25" customHeight="1">
      <c r="A1374" s="542"/>
      <c r="B1374" s="543"/>
      <c r="C1374" s="543"/>
      <c r="D1374" s="544"/>
      <c r="E1374" s="544"/>
      <c r="F1374" s="544"/>
      <c r="G1374" s="544"/>
      <c r="H1374" s="544"/>
      <c r="I1374" s="543"/>
      <c r="J1374" s="543"/>
      <c r="K1374" s="544"/>
      <c r="L1374" s="543"/>
      <c r="M1374" s="544"/>
      <c r="N1374" s="543"/>
      <c r="O1374" s="544"/>
      <c r="P1374" s="544"/>
      <c r="Q1374" s="544"/>
      <c r="R1374" s="544"/>
      <c r="S1374" s="544"/>
    </row>
    <row r="1375" ht="14.25" customHeight="1">
      <c r="A1375" s="542"/>
      <c r="B1375" s="543"/>
      <c r="C1375" s="543"/>
      <c r="D1375" s="544"/>
      <c r="E1375" s="544"/>
      <c r="F1375" s="544"/>
      <c r="G1375" s="544"/>
      <c r="H1375" s="544"/>
      <c r="I1375" s="543"/>
      <c r="J1375" s="543"/>
      <c r="K1375" s="544"/>
      <c r="L1375" s="543"/>
      <c r="M1375" s="544"/>
      <c r="N1375" s="543"/>
      <c r="O1375" s="544"/>
      <c r="P1375" s="544"/>
      <c r="Q1375" s="544"/>
      <c r="R1375" s="544"/>
      <c r="S1375" s="544"/>
    </row>
    <row r="1376" ht="14.25" customHeight="1">
      <c r="A1376" s="542"/>
      <c r="B1376" s="543"/>
      <c r="C1376" s="543"/>
      <c r="D1376" s="544"/>
      <c r="E1376" s="544"/>
      <c r="F1376" s="544"/>
      <c r="G1376" s="544"/>
      <c r="H1376" s="544"/>
      <c r="I1376" s="543"/>
      <c r="J1376" s="543"/>
      <c r="K1376" s="544"/>
      <c r="L1376" s="543"/>
      <c r="M1376" s="544"/>
      <c r="N1376" s="543"/>
      <c r="O1376" s="544"/>
      <c r="P1376" s="544"/>
      <c r="Q1376" s="544"/>
      <c r="R1376" s="544"/>
      <c r="S1376" s="544"/>
    </row>
    <row r="1377" ht="14.25" customHeight="1">
      <c r="A1377" s="542"/>
      <c r="B1377" s="543"/>
      <c r="C1377" s="543"/>
      <c r="D1377" s="544"/>
      <c r="E1377" s="544"/>
      <c r="F1377" s="544"/>
      <c r="G1377" s="544"/>
      <c r="H1377" s="544"/>
      <c r="I1377" s="543"/>
      <c r="J1377" s="543"/>
      <c r="K1377" s="544"/>
      <c r="L1377" s="543"/>
      <c r="M1377" s="544"/>
      <c r="N1377" s="543"/>
      <c r="O1377" s="544"/>
      <c r="P1377" s="544"/>
      <c r="Q1377" s="544"/>
      <c r="R1377" s="544"/>
      <c r="S1377" s="544"/>
    </row>
    <row r="1378" ht="14.25" customHeight="1">
      <c r="A1378" s="542"/>
      <c r="B1378" s="543"/>
      <c r="C1378" s="543"/>
      <c r="D1378" s="544"/>
      <c r="E1378" s="544"/>
      <c r="F1378" s="544"/>
      <c r="G1378" s="544"/>
      <c r="H1378" s="544"/>
      <c r="I1378" s="543"/>
      <c r="J1378" s="543"/>
      <c r="K1378" s="544"/>
      <c r="L1378" s="543"/>
      <c r="M1378" s="544"/>
      <c r="N1378" s="543"/>
      <c r="O1378" s="544"/>
      <c r="P1378" s="544"/>
      <c r="Q1378" s="544"/>
      <c r="R1378" s="544"/>
      <c r="S1378" s="544"/>
    </row>
    <row r="1379" ht="14.25" customHeight="1">
      <c r="A1379" s="542"/>
      <c r="B1379" s="543"/>
      <c r="C1379" s="543"/>
      <c r="D1379" s="544"/>
      <c r="E1379" s="544"/>
      <c r="F1379" s="544"/>
      <c r="G1379" s="544"/>
      <c r="H1379" s="544"/>
      <c r="I1379" s="543"/>
      <c r="J1379" s="543"/>
      <c r="K1379" s="544"/>
      <c r="L1379" s="543"/>
      <c r="M1379" s="544"/>
      <c r="N1379" s="543"/>
      <c r="O1379" s="544"/>
      <c r="P1379" s="544"/>
      <c r="Q1379" s="544"/>
      <c r="R1379" s="544"/>
      <c r="S1379" s="544"/>
    </row>
    <row r="1380" ht="14.25" customHeight="1">
      <c r="A1380" s="542"/>
      <c r="B1380" s="543"/>
      <c r="C1380" s="543"/>
      <c r="D1380" s="544"/>
      <c r="E1380" s="544"/>
      <c r="F1380" s="544"/>
      <c r="G1380" s="544"/>
      <c r="H1380" s="544"/>
      <c r="I1380" s="543"/>
      <c r="J1380" s="543"/>
      <c r="K1380" s="544"/>
      <c r="L1380" s="543"/>
      <c r="M1380" s="544"/>
      <c r="N1380" s="543"/>
      <c r="O1380" s="544"/>
      <c r="P1380" s="544"/>
      <c r="Q1380" s="544"/>
      <c r="R1380" s="544"/>
      <c r="S1380" s="544"/>
    </row>
    <row r="1381" ht="14.25" customHeight="1">
      <c r="A1381" s="542"/>
      <c r="B1381" s="543"/>
      <c r="C1381" s="543"/>
      <c r="D1381" s="544"/>
      <c r="E1381" s="544"/>
      <c r="F1381" s="544"/>
      <c r="G1381" s="544"/>
      <c r="H1381" s="544"/>
      <c r="I1381" s="543"/>
      <c r="J1381" s="543"/>
      <c r="K1381" s="544"/>
      <c r="L1381" s="543"/>
      <c r="M1381" s="544"/>
      <c r="N1381" s="543"/>
      <c r="O1381" s="544"/>
      <c r="P1381" s="544"/>
      <c r="Q1381" s="544"/>
      <c r="R1381" s="544"/>
      <c r="S1381" s="544"/>
    </row>
    <row r="1382" ht="14.25" customHeight="1">
      <c r="A1382" s="542"/>
      <c r="B1382" s="543"/>
      <c r="C1382" s="543"/>
      <c r="D1382" s="544"/>
      <c r="E1382" s="544"/>
      <c r="F1382" s="544"/>
      <c r="G1382" s="544"/>
      <c r="H1382" s="544"/>
      <c r="I1382" s="543"/>
      <c r="J1382" s="543"/>
      <c r="K1382" s="544"/>
      <c r="L1382" s="543"/>
      <c r="M1382" s="544"/>
      <c r="N1382" s="543"/>
      <c r="O1382" s="544"/>
      <c r="P1382" s="544"/>
      <c r="Q1382" s="544"/>
      <c r="R1382" s="544"/>
      <c r="S1382" s="544"/>
    </row>
    <row r="1383" ht="14.25" customHeight="1">
      <c r="A1383" s="542"/>
      <c r="B1383" s="543"/>
      <c r="C1383" s="543"/>
      <c r="D1383" s="544"/>
      <c r="E1383" s="544"/>
      <c r="F1383" s="544"/>
      <c r="G1383" s="544"/>
      <c r="H1383" s="544"/>
      <c r="I1383" s="543"/>
      <c r="J1383" s="543"/>
      <c r="K1383" s="544"/>
      <c r="L1383" s="543"/>
      <c r="M1383" s="544"/>
      <c r="N1383" s="543"/>
      <c r="O1383" s="544"/>
      <c r="P1383" s="544"/>
      <c r="Q1383" s="544"/>
      <c r="R1383" s="544"/>
      <c r="S1383" s="544"/>
    </row>
    <row r="1384" ht="14.25" customHeight="1">
      <c r="A1384" s="542"/>
      <c r="B1384" s="543"/>
      <c r="C1384" s="543"/>
      <c r="D1384" s="544"/>
      <c r="E1384" s="544"/>
      <c r="F1384" s="544"/>
      <c r="G1384" s="544"/>
      <c r="H1384" s="544"/>
      <c r="I1384" s="543"/>
      <c r="J1384" s="543"/>
      <c r="K1384" s="544"/>
      <c r="L1384" s="543"/>
      <c r="M1384" s="544"/>
      <c r="N1384" s="543"/>
      <c r="O1384" s="544"/>
      <c r="P1384" s="544"/>
      <c r="Q1384" s="544"/>
      <c r="R1384" s="544"/>
      <c r="S1384" s="544"/>
    </row>
    <row r="1385" ht="14.25" customHeight="1">
      <c r="A1385" s="542"/>
      <c r="B1385" s="543"/>
      <c r="C1385" s="543"/>
      <c r="D1385" s="544"/>
      <c r="E1385" s="544"/>
      <c r="F1385" s="544"/>
      <c r="G1385" s="544"/>
      <c r="H1385" s="544"/>
      <c r="I1385" s="543"/>
      <c r="J1385" s="543"/>
      <c r="K1385" s="544"/>
      <c r="L1385" s="543"/>
      <c r="M1385" s="544"/>
      <c r="N1385" s="543"/>
      <c r="O1385" s="544"/>
      <c r="P1385" s="544"/>
      <c r="Q1385" s="544"/>
      <c r="R1385" s="544"/>
      <c r="S1385" s="544"/>
    </row>
    <row r="1386" ht="14.25" customHeight="1">
      <c r="A1386" s="542"/>
      <c r="B1386" s="543"/>
      <c r="C1386" s="543"/>
      <c r="D1386" s="544"/>
      <c r="E1386" s="544"/>
      <c r="F1386" s="544"/>
      <c r="G1386" s="544"/>
      <c r="H1386" s="544"/>
      <c r="I1386" s="543"/>
      <c r="J1386" s="543"/>
      <c r="K1386" s="544"/>
      <c r="L1386" s="543"/>
      <c r="M1386" s="544"/>
      <c r="N1386" s="543"/>
      <c r="O1386" s="544"/>
      <c r="P1386" s="544"/>
      <c r="Q1386" s="544"/>
      <c r="R1386" s="544"/>
      <c r="S1386" s="544"/>
    </row>
    <row r="1387" ht="14.25" customHeight="1">
      <c r="A1387" s="542"/>
      <c r="B1387" s="543"/>
      <c r="C1387" s="543"/>
      <c r="D1387" s="544"/>
      <c r="E1387" s="544"/>
      <c r="F1387" s="544"/>
      <c r="G1387" s="544"/>
      <c r="H1387" s="544"/>
      <c r="I1387" s="543"/>
      <c r="J1387" s="543"/>
      <c r="K1387" s="544"/>
      <c r="L1387" s="543"/>
      <c r="M1387" s="544"/>
      <c r="N1387" s="543"/>
      <c r="O1387" s="544"/>
      <c r="P1387" s="544"/>
      <c r="Q1387" s="544"/>
      <c r="R1387" s="544"/>
      <c r="S1387" s="544"/>
    </row>
    <row r="1388" ht="14.25" customHeight="1">
      <c r="A1388" s="542"/>
      <c r="B1388" s="543"/>
      <c r="C1388" s="543"/>
      <c r="D1388" s="544"/>
      <c r="E1388" s="544"/>
      <c r="F1388" s="544"/>
      <c r="G1388" s="544"/>
      <c r="H1388" s="544"/>
      <c r="I1388" s="543"/>
      <c r="J1388" s="543"/>
      <c r="K1388" s="544"/>
      <c r="L1388" s="543"/>
      <c r="M1388" s="544"/>
      <c r="N1388" s="543"/>
      <c r="O1388" s="544"/>
      <c r="P1388" s="544"/>
      <c r="Q1388" s="544"/>
      <c r="R1388" s="544"/>
      <c r="S1388" s="544"/>
    </row>
    <row r="1389" ht="14.25" customHeight="1">
      <c r="A1389" s="542"/>
      <c r="B1389" s="543"/>
      <c r="C1389" s="543"/>
      <c r="D1389" s="544"/>
      <c r="E1389" s="544"/>
      <c r="F1389" s="544"/>
      <c r="G1389" s="544"/>
      <c r="H1389" s="544"/>
      <c r="I1389" s="543"/>
      <c r="J1389" s="543"/>
      <c r="K1389" s="544"/>
      <c r="L1389" s="543"/>
      <c r="M1389" s="544"/>
      <c r="N1389" s="543"/>
      <c r="O1389" s="544"/>
      <c r="P1389" s="544"/>
      <c r="Q1389" s="544"/>
      <c r="R1389" s="544"/>
      <c r="S1389" s="544"/>
    </row>
    <row r="1390" ht="14.25" customHeight="1">
      <c r="A1390" s="542"/>
      <c r="B1390" s="543"/>
      <c r="C1390" s="543"/>
      <c r="D1390" s="544"/>
      <c r="E1390" s="544"/>
      <c r="F1390" s="544"/>
      <c r="G1390" s="544"/>
      <c r="H1390" s="544"/>
      <c r="I1390" s="543"/>
      <c r="J1390" s="543"/>
      <c r="K1390" s="544"/>
      <c r="L1390" s="543"/>
      <c r="M1390" s="544"/>
      <c r="N1390" s="543"/>
      <c r="O1390" s="544"/>
      <c r="P1390" s="544"/>
      <c r="Q1390" s="544"/>
      <c r="R1390" s="544"/>
      <c r="S1390" s="544"/>
    </row>
    <row r="1391" ht="14.25" customHeight="1">
      <c r="A1391" s="542"/>
      <c r="B1391" s="543"/>
      <c r="C1391" s="543"/>
      <c r="D1391" s="544"/>
      <c r="E1391" s="544"/>
      <c r="F1391" s="544"/>
      <c r="G1391" s="544"/>
      <c r="H1391" s="544"/>
      <c r="I1391" s="543"/>
      <c r="J1391" s="543"/>
      <c r="K1391" s="544"/>
      <c r="L1391" s="543"/>
      <c r="M1391" s="544"/>
      <c r="N1391" s="543"/>
      <c r="O1391" s="544"/>
      <c r="P1391" s="544"/>
      <c r="Q1391" s="544"/>
      <c r="R1391" s="544"/>
      <c r="S1391" s="544"/>
    </row>
    <row r="1392" ht="14.25" customHeight="1">
      <c r="A1392" s="542"/>
      <c r="B1392" s="543"/>
      <c r="C1392" s="543"/>
      <c r="D1392" s="544"/>
      <c r="E1392" s="544"/>
      <c r="F1392" s="544"/>
      <c r="G1392" s="544"/>
      <c r="H1392" s="544"/>
      <c r="I1392" s="543"/>
      <c r="J1392" s="543"/>
      <c r="K1392" s="544"/>
      <c r="L1392" s="543"/>
      <c r="M1392" s="544"/>
      <c r="N1392" s="543"/>
      <c r="O1392" s="544"/>
      <c r="P1392" s="544"/>
      <c r="Q1392" s="544"/>
      <c r="R1392" s="544"/>
      <c r="S1392" s="544"/>
    </row>
    <row r="1393" ht="14.25" customHeight="1">
      <c r="A1393" s="542"/>
      <c r="B1393" s="543"/>
      <c r="C1393" s="543"/>
      <c r="D1393" s="544"/>
      <c r="E1393" s="544"/>
      <c r="F1393" s="544"/>
      <c r="G1393" s="544"/>
      <c r="H1393" s="544"/>
      <c r="I1393" s="543"/>
      <c r="J1393" s="543"/>
      <c r="K1393" s="544"/>
      <c r="L1393" s="543"/>
      <c r="M1393" s="544"/>
      <c r="N1393" s="543"/>
      <c r="O1393" s="544"/>
      <c r="P1393" s="544"/>
      <c r="Q1393" s="544"/>
      <c r="R1393" s="544"/>
      <c r="S1393" s="544"/>
    </row>
    <row r="1394" ht="14.25" customHeight="1">
      <c r="A1394" s="542"/>
      <c r="B1394" s="543"/>
      <c r="C1394" s="543"/>
      <c r="D1394" s="544"/>
      <c r="E1394" s="544"/>
      <c r="F1394" s="544"/>
      <c r="G1394" s="544"/>
      <c r="H1394" s="544"/>
      <c r="I1394" s="543"/>
      <c r="J1394" s="543"/>
      <c r="K1394" s="544"/>
      <c r="L1394" s="543"/>
      <c r="M1394" s="544"/>
      <c r="N1394" s="543"/>
      <c r="O1394" s="544"/>
      <c r="P1394" s="544"/>
      <c r="Q1394" s="544"/>
      <c r="R1394" s="544"/>
      <c r="S1394" s="544"/>
    </row>
    <row r="1395" ht="14.25" customHeight="1">
      <c r="A1395" s="542"/>
      <c r="B1395" s="543"/>
      <c r="C1395" s="543"/>
      <c r="D1395" s="544"/>
      <c r="E1395" s="544"/>
      <c r="F1395" s="544"/>
      <c r="G1395" s="544"/>
      <c r="H1395" s="544"/>
      <c r="I1395" s="543"/>
      <c r="J1395" s="543"/>
      <c r="K1395" s="544"/>
      <c r="L1395" s="543"/>
      <c r="M1395" s="544"/>
      <c r="N1395" s="543"/>
      <c r="O1395" s="544"/>
      <c r="P1395" s="544"/>
      <c r="Q1395" s="544"/>
      <c r="R1395" s="544"/>
      <c r="S1395" s="544"/>
    </row>
    <row r="1396" ht="14.25" customHeight="1">
      <c r="A1396" s="542"/>
      <c r="B1396" s="543"/>
      <c r="C1396" s="543"/>
      <c r="D1396" s="544"/>
      <c r="E1396" s="544"/>
      <c r="F1396" s="544"/>
      <c r="G1396" s="544"/>
      <c r="H1396" s="544"/>
      <c r="I1396" s="543"/>
      <c r="J1396" s="543"/>
      <c r="K1396" s="544"/>
      <c r="L1396" s="543"/>
      <c r="M1396" s="544"/>
      <c r="N1396" s="543"/>
      <c r="O1396" s="544"/>
      <c r="P1396" s="544"/>
      <c r="Q1396" s="544"/>
      <c r="R1396" s="544"/>
      <c r="S1396" s="544"/>
    </row>
    <row r="1397" ht="14.25" customHeight="1">
      <c r="A1397" s="542"/>
      <c r="B1397" s="543"/>
      <c r="C1397" s="543"/>
      <c r="D1397" s="544"/>
      <c r="E1397" s="544"/>
      <c r="F1397" s="544"/>
      <c r="G1397" s="544"/>
      <c r="H1397" s="544"/>
      <c r="I1397" s="543"/>
      <c r="J1397" s="543"/>
      <c r="K1397" s="544"/>
      <c r="L1397" s="543"/>
      <c r="M1397" s="544"/>
      <c r="N1397" s="543"/>
      <c r="O1397" s="544"/>
      <c r="P1397" s="544"/>
      <c r="Q1397" s="544"/>
      <c r="R1397" s="544"/>
      <c r="S1397" s="544"/>
    </row>
    <row r="1398" ht="14.25" customHeight="1">
      <c r="A1398" s="542"/>
      <c r="B1398" s="543"/>
      <c r="C1398" s="543"/>
      <c r="D1398" s="544"/>
      <c r="E1398" s="544"/>
      <c r="F1398" s="544"/>
      <c r="G1398" s="544"/>
      <c r="H1398" s="544"/>
      <c r="I1398" s="543"/>
      <c r="J1398" s="543"/>
      <c r="K1398" s="544"/>
      <c r="L1398" s="543"/>
      <c r="M1398" s="544"/>
      <c r="N1398" s="543"/>
      <c r="O1398" s="544"/>
      <c r="P1398" s="544"/>
      <c r="Q1398" s="544"/>
      <c r="R1398" s="544"/>
      <c r="S1398" s="544"/>
    </row>
    <row r="1399" ht="14.25" customHeight="1">
      <c r="A1399" s="542"/>
      <c r="B1399" s="543"/>
      <c r="C1399" s="543"/>
      <c r="D1399" s="544"/>
      <c r="E1399" s="544"/>
      <c r="F1399" s="544"/>
      <c r="G1399" s="544"/>
      <c r="H1399" s="544"/>
      <c r="I1399" s="543"/>
      <c r="J1399" s="543"/>
      <c r="K1399" s="544"/>
      <c r="L1399" s="543"/>
      <c r="M1399" s="544"/>
      <c r="N1399" s="543"/>
      <c r="O1399" s="544"/>
      <c r="P1399" s="544"/>
      <c r="Q1399" s="544"/>
      <c r="R1399" s="544"/>
      <c r="S1399" s="544"/>
    </row>
    <row r="1400" ht="14.25" customHeight="1">
      <c r="A1400" s="542"/>
      <c r="B1400" s="543"/>
      <c r="C1400" s="543"/>
      <c r="D1400" s="544"/>
      <c r="E1400" s="544"/>
      <c r="F1400" s="544"/>
      <c r="G1400" s="544"/>
      <c r="H1400" s="544"/>
      <c r="I1400" s="543"/>
      <c r="J1400" s="543"/>
      <c r="K1400" s="544"/>
      <c r="L1400" s="543"/>
      <c r="M1400" s="544"/>
      <c r="N1400" s="543"/>
      <c r="O1400" s="544"/>
      <c r="P1400" s="544"/>
      <c r="Q1400" s="544"/>
      <c r="R1400" s="544"/>
      <c r="S1400" s="544"/>
    </row>
    <row r="1401" ht="14.25" customHeight="1">
      <c r="A1401" s="542"/>
      <c r="B1401" s="543"/>
      <c r="C1401" s="543"/>
      <c r="D1401" s="544"/>
      <c r="E1401" s="544"/>
      <c r="F1401" s="544"/>
      <c r="G1401" s="544"/>
      <c r="H1401" s="544"/>
      <c r="I1401" s="543"/>
      <c r="J1401" s="543"/>
      <c r="K1401" s="544"/>
      <c r="L1401" s="543"/>
      <c r="M1401" s="544"/>
      <c r="N1401" s="543"/>
      <c r="O1401" s="544"/>
      <c r="P1401" s="544"/>
      <c r="Q1401" s="544"/>
      <c r="R1401" s="544"/>
      <c r="S1401" s="544"/>
    </row>
    <row r="1402" ht="14.25" customHeight="1">
      <c r="A1402" s="542"/>
      <c r="B1402" s="543"/>
      <c r="C1402" s="543"/>
      <c r="D1402" s="544"/>
      <c r="E1402" s="544"/>
      <c r="F1402" s="544"/>
      <c r="G1402" s="544"/>
      <c r="H1402" s="544"/>
      <c r="I1402" s="543"/>
      <c r="J1402" s="543"/>
      <c r="K1402" s="544"/>
      <c r="L1402" s="543"/>
      <c r="M1402" s="544"/>
      <c r="N1402" s="543"/>
      <c r="O1402" s="544"/>
      <c r="P1402" s="544"/>
      <c r="Q1402" s="544"/>
      <c r="R1402" s="544"/>
      <c r="S1402" s="544"/>
    </row>
    <row r="1403" ht="14.25" customHeight="1">
      <c r="A1403" s="542"/>
      <c r="B1403" s="543"/>
      <c r="C1403" s="543"/>
      <c r="D1403" s="544"/>
      <c r="E1403" s="544"/>
      <c r="F1403" s="544"/>
      <c r="G1403" s="544"/>
      <c r="H1403" s="544"/>
      <c r="I1403" s="543"/>
      <c r="J1403" s="543"/>
      <c r="K1403" s="544"/>
      <c r="L1403" s="543"/>
      <c r="M1403" s="544"/>
      <c r="N1403" s="543"/>
      <c r="O1403" s="544"/>
      <c r="P1403" s="544"/>
      <c r="Q1403" s="544"/>
      <c r="R1403" s="544"/>
      <c r="S1403" s="544"/>
    </row>
    <row r="1404" ht="14.25" customHeight="1">
      <c r="A1404" s="542"/>
      <c r="B1404" s="543"/>
      <c r="C1404" s="543"/>
      <c r="D1404" s="544"/>
      <c r="E1404" s="544"/>
      <c r="F1404" s="544"/>
      <c r="G1404" s="544"/>
      <c r="H1404" s="544"/>
      <c r="I1404" s="543"/>
      <c r="J1404" s="543"/>
      <c r="K1404" s="544"/>
      <c r="L1404" s="543"/>
      <c r="M1404" s="544"/>
      <c r="N1404" s="543"/>
      <c r="O1404" s="544"/>
      <c r="P1404" s="544"/>
      <c r="Q1404" s="544"/>
      <c r="R1404" s="544"/>
      <c r="S1404" s="544"/>
    </row>
    <row r="1405" ht="14.25" customHeight="1">
      <c r="A1405" s="542"/>
      <c r="B1405" s="543"/>
      <c r="C1405" s="543"/>
      <c r="D1405" s="544"/>
      <c r="E1405" s="544"/>
      <c r="F1405" s="544"/>
      <c r="G1405" s="544"/>
      <c r="H1405" s="544"/>
      <c r="I1405" s="543"/>
      <c r="J1405" s="543"/>
      <c r="K1405" s="544"/>
      <c r="L1405" s="543"/>
      <c r="M1405" s="544"/>
      <c r="N1405" s="543"/>
      <c r="O1405" s="544"/>
      <c r="P1405" s="544"/>
      <c r="Q1405" s="544"/>
      <c r="R1405" s="544"/>
      <c r="S1405" s="544"/>
    </row>
    <row r="1406" ht="14.25" customHeight="1">
      <c r="A1406" s="542"/>
      <c r="B1406" s="543"/>
      <c r="C1406" s="543"/>
      <c r="D1406" s="544"/>
      <c r="E1406" s="544"/>
      <c r="F1406" s="544"/>
      <c r="G1406" s="544"/>
      <c r="H1406" s="544"/>
      <c r="I1406" s="543"/>
      <c r="J1406" s="543"/>
      <c r="K1406" s="544"/>
      <c r="L1406" s="543"/>
      <c r="M1406" s="544"/>
      <c r="N1406" s="543"/>
      <c r="O1406" s="544"/>
      <c r="P1406" s="544"/>
      <c r="Q1406" s="544"/>
      <c r="R1406" s="544"/>
      <c r="S1406" s="544"/>
    </row>
    <row r="1407" ht="14.25" customHeight="1">
      <c r="A1407" s="542"/>
      <c r="B1407" s="543"/>
      <c r="C1407" s="543"/>
      <c r="D1407" s="544"/>
      <c r="E1407" s="544"/>
      <c r="F1407" s="544"/>
      <c r="G1407" s="544"/>
      <c r="H1407" s="544"/>
      <c r="I1407" s="543"/>
      <c r="J1407" s="543"/>
      <c r="K1407" s="544"/>
      <c r="L1407" s="543"/>
      <c r="M1407" s="544"/>
      <c r="N1407" s="543"/>
      <c r="O1407" s="544"/>
      <c r="P1407" s="544"/>
      <c r="Q1407" s="544"/>
      <c r="R1407" s="544"/>
      <c r="S1407" s="544"/>
    </row>
    <row r="1408" ht="14.25" customHeight="1">
      <c r="A1408" s="542"/>
      <c r="B1408" s="543"/>
      <c r="C1408" s="543"/>
      <c r="D1408" s="544"/>
      <c r="E1408" s="544"/>
      <c r="F1408" s="544"/>
      <c r="G1408" s="544"/>
      <c r="H1408" s="544"/>
      <c r="I1408" s="543"/>
      <c r="J1408" s="543"/>
      <c r="K1408" s="544"/>
      <c r="L1408" s="543"/>
      <c r="M1408" s="544"/>
      <c r="N1408" s="543"/>
      <c r="O1408" s="544"/>
      <c r="P1408" s="544"/>
      <c r="Q1408" s="544"/>
      <c r="R1408" s="544"/>
      <c r="S1408" s="544"/>
    </row>
    <row r="1409" ht="14.25" customHeight="1">
      <c r="A1409" s="542"/>
      <c r="B1409" s="543"/>
      <c r="C1409" s="543"/>
      <c r="D1409" s="544"/>
      <c r="E1409" s="544"/>
      <c r="F1409" s="544"/>
      <c r="G1409" s="544"/>
      <c r="H1409" s="544"/>
      <c r="I1409" s="543"/>
      <c r="J1409" s="543"/>
      <c r="K1409" s="544"/>
      <c r="L1409" s="543"/>
      <c r="M1409" s="544"/>
      <c r="N1409" s="543"/>
      <c r="O1409" s="544"/>
      <c r="P1409" s="544"/>
      <c r="Q1409" s="544"/>
      <c r="R1409" s="544"/>
      <c r="S1409" s="544"/>
    </row>
    <row r="1410" ht="14.25" customHeight="1">
      <c r="A1410" s="542"/>
      <c r="B1410" s="543"/>
      <c r="C1410" s="543"/>
      <c r="D1410" s="544"/>
      <c r="E1410" s="544"/>
      <c r="F1410" s="544"/>
      <c r="G1410" s="544"/>
      <c r="H1410" s="544"/>
      <c r="I1410" s="543"/>
      <c r="J1410" s="543"/>
      <c r="K1410" s="544"/>
      <c r="L1410" s="543"/>
      <c r="M1410" s="544"/>
      <c r="N1410" s="543"/>
      <c r="O1410" s="544"/>
      <c r="P1410" s="544"/>
      <c r="Q1410" s="544"/>
      <c r="R1410" s="544"/>
      <c r="S1410" s="544"/>
    </row>
    <row r="1411" ht="14.25" customHeight="1">
      <c r="A1411" s="542"/>
      <c r="B1411" s="543"/>
      <c r="C1411" s="543"/>
      <c r="D1411" s="544"/>
      <c r="E1411" s="544"/>
      <c r="F1411" s="544"/>
      <c r="G1411" s="544"/>
      <c r="H1411" s="544"/>
      <c r="I1411" s="543"/>
      <c r="J1411" s="543"/>
      <c r="K1411" s="544"/>
      <c r="L1411" s="543"/>
      <c r="M1411" s="544"/>
      <c r="N1411" s="543"/>
      <c r="O1411" s="544"/>
      <c r="P1411" s="544"/>
      <c r="Q1411" s="544"/>
      <c r="R1411" s="544"/>
      <c r="S1411" s="544"/>
    </row>
    <row r="1412" ht="14.25" customHeight="1">
      <c r="A1412" s="542"/>
      <c r="B1412" s="543"/>
      <c r="C1412" s="543"/>
      <c r="D1412" s="544"/>
      <c r="E1412" s="544"/>
      <c r="F1412" s="544"/>
      <c r="G1412" s="544"/>
      <c r="H1412" s="544"/>
      <c r="I1412" s="543"/>
      <c r="J1412" s="543"/>
      <c r="K1412" s="544"/>
      <c r="L1412" s="543"/>
      <c r="M1412" s="544"/>
      <c r="N1412" s="543"/>
      <c r="O1412" s="544"/>
      <c r="P1412" s="544"/>
      <c r="Q1412" s="544"/>
      <c r="R1412" s="544"/>
      <c r="S1412" s="544"/>
    </row>
    <row r="1413" ht="14.25" customHeight="1">
      <c r="A1413" s="542"/>
      <c r="B1413" s="543"/>
      <c r="C1413" s="543"/>
      <c r="D1413" s="544"/>
      <c r="E1413" s="544"/>
      <c r="F1413" s="544"/>
      <c r="G1413" s="544"/>
      <c r="H1413" s="544"/>
      <c r="I1413" s="543"/>
      <c r="J1413" s="543"/>
      <c r="K1413" s="544"/>
      <c r="L1413" s="543"/>
      <c r="M1413" s="544"/>
      <c r="N1413" s="543"/>
      <c r="O1413" s="544"/>
      <c r="P1413" s="544"/>
      <c r="Q1413" s="544"/>
      <c r="R1413" s="544"/>
      <c r="S1413" s="544"/>
    </row>
    <row r="1414" ht="14.25" customHeight="1">
      <c r="A1414" s="542"/>
      <c r="B1414" s="543"/>
      <c r="C1414" s="543"/>
      <c r="D1414" s="544"/>
      <c r="E1414" s="544"/>
      <c r="F1414" s="544"/>
      <c r="G1414" s="544"/>
      <c r="H1414" s="544"/>
      <c r="I1414" s="543"/>
      <c r="J1414" s="543"/>
      <c r="K1414" s="544"/>
      <c r="L1414" s="543"/>
      <c r="M1414" s="544"/>
      <c r="N1414" s="543"/>
      <c r="O1414" s="544"/>
      <c r="P1414" s="544"/>
      <c r="Q1414" s="544"/>
      <c r="R1414" s="544"/>
      <c r="S1414" s="544"/>
    </row>
    <row r="1415" ht="14.25" customHeight="1">
      <c r="A1415" s="542"/>
      <c r="B1415" s="543"/>
      <c r="C1415" s="543"/>
      <c r="D1415" s="544"/>
      <c r="E1415" s="544"/>
      <c r="F1415" s="544"/>
      <c r="G1415" s="544"/>
      <c r="H1415" s="544"/>
      <c r="I1415" s="543"/>
      <c r="J1415" s="543"/>
      <c r="K1415" s="544"/>
      <c r="L1415" s="543"/>
      <c r="M1415" s="544"/>
      <c r="N1415" s="543"/>
      <c r="O1415" s="544"/>
      <c r="P1415" s="544"/>
      <c r="Q1415" s="544"/>
      <c r="R1415" s="544"/>
      <c r="S1415" s="544"/>
    </row>
    <row r="1416" ht="14.25" customHeight="1">
      <c r="A1416" s="542"/>
      <c r="B1416" s="543"/>
      <c r="C1416" s="543"/>
      <c r="D1416" s="544"/>
      <c r="E1416" s="544"/>
      <c r="F1416" s="544"/>
      <c r="G1416" s="544"/>
      <c r="H1416" s="544"/>
      <c r="I1416" s="543"/>
      <c r="J1416" s="543"/>
      <c r="K1416" s="544"/>
      <c r="L1416" s="543"/>
      <c r="M1416" s="544"/>
      <c r="N1416" s="543"/>
      <c r="O1416" s="544"/>
      <c r="P1416" s="544"/>
      <c r="Q1416" s="544"/>
      <c r="R1416" s="544"/>
      <c r="S1416" s="544"/>
    </row>
    <row r="1417" ht="14.25" customHeight="1">
      <c r="A1417" s="542"/>
      <c r="B1417" s="543"/>
      <c r="C1417" s="543"/>
      <c r="D1417" s="544"/>
      <c r="E1417" s="544"/>
      <c r="F1417" s="544"/>
      <c r="G1417" s="544"/>
      <c r="H1417" s="544"/>
      <c r="I1417" s="543"/>
      <c r="J1417" s="543"/>
      <c r="K1417" s="544"/>
      <c r="L1417" s="543"/>
      <c r="M1417" s="544"/>
      <c r="N1417" s="543"/>
      <c r="O1417" s="544"/>
      <c r="P1417" s="544"/>
      <c r="Q1417" s="544"/>
      <c r="R1417" s="544"/>
      <c r="S1417" s="544"/>
    </row>
    <row r="1418" ht="14.25" customHeight="1">
      <c r="A1418" s="542"/>
      <c r="B1418" s="543"/>
      <c r="C1418" s="543"/>
      <c r="D1418" s="544"/>
      <c r="E1418" s="544"/>
      <c r="F1418" s="544"/>
      <c r="G1418" s="544"/>
      <c r="H1418" s="544"/>
      <c r="I1418" s="543"/>
      <c r="J1418" s="543"/>
      <c r="K1418" s="544"/>
      <c r="L1418" s="543"/>
      <c r="M1418" s="544"/>
      <c r="N1418" s="543"/>
      <c r="O1418" s="544"/>
      <c r="P1418" s="544"/>
      <c r="Q1418" s="544"/>
      <c r="R1418" s="544"/>
      <c r="S1418" s="544"/>
    </row>
    <row r="1419" ht="14.25" customHeight="1">
      <c r="A1419" s="542"/>
      <c r="B1419" s="543"/>
      <c r="C1419" s="543"/>
      <c r="D1419" s="544"/>
      <c r="E1419" s="544"/>
      <c r="F1419" s="544"/>
      <c r="G1419" s="544"/>
      <c r="H1419" s="544"/>
      <c r="I1419" s="543"/>
      <c r="J1419" s="543"/>
      <c r="K1419" s="544"/>
      <c r="L1419" s="543"/>
      <c r="M1419" s="544"/>
      <c r="N1419" s="543"/>
      <c r="O1419" s="544"/>
      <c r="P1419" s="544"/>
      <c r="Q1419" s="544"/>
      <c r="R1419" s="544"/>
      <c r="S1419" s="544"/>
    </row>
    <row r="1420" ht="14.25" customHeight="1">
      <c r="A1420" s="542"/>
      <c r="B1420" s="543"/>
      <c r="C1420" s="543"/>
      <c r="D1420" s="544"/>
      <c r="E1420" s="544"/>
      <c r="F1420" s="544"/>
      <c r="G1420" s="544"/>
      <c r="H1420" s="544"/>
      <c r="I1420" s="543"/>
      <c r="J1420" s="543"/>
      <c r="K1420" s="544"/>
      <c r="L1420" s="543"/>
      <c r="M1420" s="544"/>
      <c r="N1420" s="543"/>
      <c r="O1420" s="544"/>
      <c r="P1420" s="544"/>
      <c r="Q1420" s="544"/>
      <c r="R1420" s="544"/>
      <c r="S1420" s="544"/>
    </row>
    <row r="1421" ht="14.25" customHeight="1">
      <c r="A1421" s="542"/>
      <c r="B1421" s="543"/>
      <c r="C1421" s="543"/>
      <c r="D1421" s="544"/>
      <c r="E1421" s="544"/>
      <c r="F1421" s="544"/>
      <c r="G1421" s="544"/>
      <c r="H1421" s="544"/>
      <c r="I1421" s="543"/>
      <c r="J1421" s="543"/>
      <c r="K1421" s="544"/>
      <c r="L1421" s="543"/>
      <c r="M1421" s="544"/>
      <c r="N1421" s="543"/>
      <c r="O1421" s="544"/>
      <c r="P1421" s="544"/>
      <c r="Q1421" s="544"/>
      <c r="R1421" s="544"/>
      <c r="S1421" s="544"/>
    </row>
    <row r="1422" ht="14.25" customHeight="1">
      <c r="A1422" s="542"/>
      <c r="B1422" s="543"/>
      <c r="C1422" s="543"/>
      <c r="D1422" s="544"/>
      <c r="E1422" s="544"/>
      <c r="F1422" s="544"/>
      <c r="G1422" s="544"/>
      <c r="H1422" s="544"/>
      <c r="I1422" s="543"/>
      <c r="J1422" s="543"/>
      <c r="K1422" s="544"/>
      <c r="L1422" s="543"/>
      <c r="M1422" s="544"/>
      <c r="N1422" s="543"/>
      <c r="O1422" s="544"/>
      <c r="P1422" s="544"/>
      <c r="Q1422" s="544"/>
      <c r="R1422" s="544"/>
      <c r="S1422" s="544"/>
    </row>
    <row r="1423" ht="14.25" customHeight="1">
      <c r="A1423" s="542"/>
      <c r="B1423" s="543"/>
      <c r="C1423" s="543"/>
      <c r="D1423" s="544"/>
      <c r="E1423" s="544"/>
      <c r="F1423" s="544"/>
      <c r="G1423" s="544"/>
      <c r="H1423" s="544"/>
      <c r="I1423" s="543"/>
      <c r="J1423" s="543"/>
      <c r="K1423" s="544"/>
      <c r="L1423" s="543"/>
      <c r="M1423" s="544"/>
      <c r="N1423" s="543"/>
      <c r="O1423" s="544"/>
      <c r="P1423" s="544"/>
      <c r="Q1423" s="544"/>
      <c r="R1423" s="544"/>
      <c r="S1423" s="544"/>
    </row>
    <row r="1424" ht="14.25" customHeight="1">
      <c r="A1424" s="542"/>
      <c r="B1424" s="543"/>
      <c r="C1424" s="543"/>
      <c r="D1424" s="544"/>
      <c r="E1424" s="544"/>
      <c r="F1424" s="544"/>
      <c r="G1424" s="544"/>
      <c r="H1424" s="544"/>
      <c r="I1424" s="543"/>
      <c r="J1424" s="543"/>
      <c r="K1424" s="544"/>
      <c r="L1424" s="543"/>
      <c r="M1424" s="544"/>
      <c r="N1424" s="543"/>
      <c r="O1424" s="544"/>
      <c r="P1424" s="544"/>
      <c r="Q1424" s="544"/>
      <c r="R1424" s="544"/>
      <c r="S1424" s="544"/>
    </row>
    <row r="1425" ht="14.25" customHeight="1">
      <c r="A1425" s="542"/>
      <c r="B1425" s="543"/>
      <c r="C1425" s="543"/>
      <c r="D1425" s="544"/>
      <c r="E1425" s="544"/>
      <c r="F1425" s="544"/>
      <c r="G1425" s="544"/>
      <c r="H1425" s="544"/>
      <c r="I1425" s="543"/>
      <c r="J1425" s="543"/>
      <c r="K1425" s="544"/>
      <c r="L1425" s="543"/>
      <c r="M1425" s="544"/>
      <c r="N1425" s="543"/>
      <c r="O1425" s="544"/>
      <c r="P1425" s="544"/>
      <c r="Q1425" s="544"/>
      <c r="R1425" s="544"/>
      <c r="S1425" s="544"/>
    </row>
    <row r="1426" ht="14.25" customHeight="1">
      <c r="A1426" s="542"/>
      <c r="B1426" s="543"/>
      <c r="C1426" s="543"/>
      <c r="D1426" s="544"/>
      <c r="E1426" s="544"/>
      <c r="F1426" s="544"/>
      <c r="G1426" s="544"/>
      <c r="H1426" s="544"/>
      <c r="I1426" s="543"/>
      <c r="J1426" s="543"/>
      <c r="K1426" s="544"/>
      <c r="L1426" s="543"/>
      <c r="M1426" s="544"/>
      <c r="N1426" s="543"/>
      <c r="O1426" s="544"/>
      <c r="P1426" s="544"/>
      <c r="Q1426" s="544"/>
      <c r="R1426" s="544"/>
      <c r="S1426" s="544"/>
    </row>
    <row r="1427" ht="14.25" customHeight="1">
      <c r="A1427" s="542"/>
      <c r="B1427" s="543"/>
      <c r="C1427" s="543"/>
      <c r="D1427" s="544"/>
      <c r="E1427" s="544"/>
      <c r="F1427" s="544"/>
      <c r="G1427" s="544"/>
      <c r="H1427" s="544"/>
      <c r="I1427" s="543"/>
      <c r="J1427" s="543"/>
      <c r="K1427" s="544"/>
      <c r="L1427" s="543"/>
      <c r="M1427" s="544"/>
      <c r="N1427" s="543"/>
      <c r="O1427" s="544"/>
      <c r="P1427" s="544"/>
      <c r="Q1427" s="544"/>
      <c r="R1427" s="544"/>
      <c r="S1427" s="544"/>
    </row>
    <row r="1428" ht="14.25" customHeight="1">
      <c r="A1428" s="542"/>
      <c r="B1428" s="543"/>
      <c r="C1428" s="543"/>
      <c r="D1428" s="544"/>
      <c r="E1428" s="544"/>
      <c r="F1428" s="544"/>
      <c r="G1428" s="544"/>
      <c r="H1428" s="544"/>
      <c r="I1428" s="543"/>
      <c r="J1428" s="543"/>
      <c r="K1428" s="544"/>
      <c r="L1428" s="543"/>
      <c r="M1428" s="544"/>
      <c r="N1428" s="543"/>
      <c r="O1428" s="544"/>
      <c r="P1428" s="544"/>
      <c r="Q1428" s="544"/>
      <c r="R1428" s="544"/>
      <c r="S1428" s="544"/>
    </row>
    <row r="1429" ht="14.25" customHeight="1">
      <c r="A1429" s="542"/>
      <c r="B1429" s="543"/>
      <c r="C1429" s="543"/>
      <c r="D1429" s="544"/>
      <c r="E1429" s="544"/>
      <c r="F1429" s="544"/>
      <c r="G1429" s="544"/>
      <c r="H1429" s="544"/>
      <c r="I1429" s="543"/>
      <c r="J1429" s="543"/>
      <c r="K1429" s="544"/>
      <c r="L1429" s="543"/>
      <c r="M1429" s="544"/>
      <c r="N1429" s="543"/>
      <c r="O1429" s="544"/>
      <c r="P1429" s="544"/>
      <c r="Q1429" s="544"/>
      <c r="R1429" s="544"/>
      <c r="S1429" s="544"/>
    </row>
    <row r="1430" ht="14.25" customHeight="1">
      <c r="A1430" s="542"/>
      <c r="B1430" s="543"/>
      <c r="C1430" s="543"/>
      <c r="D1430" s="544"/>
      <c r="E1430" s="544"/>
      <c r="F1430" s="544"/>
      <c r="G1430" s="544"/>
      <c r="H1430" s="544"/>
      <c r="I1430" s="543"/>
      <c r="J1430" s="543"/>
      <c r="K1430" s="544"/>
      <c r="L1430" s="543"/>
      <c r="M1430" s="544"/>
      <c r="N1430" s="543"/>
      <c r="O1430" s="544"/>
      <c r="P1430" s="544"/>
      <c r="Q1430" s="544"/>
      <c r="R1430" s="544"/>
      <c r="S1430" s="544"/>
    </row>
    <row r="1431" ht="14.25" customHeight="1">
      <c r="A1431" s="542"/>
      <c r="B1431" s="543"/>
      <c r="C1431" s="543"/>
      <c r="D1431" s="544"/>
      <c r="E1431" s="544"/>
      <c r="F1431" s="544"/>
      <c r="G1431" s="544"/>
      <c r="H1431" s="544"/>
      <c r="I1431" s="543"/>
      <c r="J1431" s="543"/>
      <c r="K1431" s="544"/>
      <c r="L1431" s="543"/>
      <c r="M1431" s="544"/>
      <c r="N1431" s="543"/>
      <c r="O1431" s="544"/>
      <c r="P1431" s="544"/>
      <c r="Q1431" s="544"/>
      <c r="R1431" s="544"/>
      <c r="S1431" s="544"/>
    </row>
    <row r="1432" ht="14.25" customHeight="1">
      <c r="A1432" s="542"/>
      <c r="B1432" s="543"/>
      <c r="C1432" s="543"/>
      <c r="D1432" s="544"/>
      <c r="E1432" s="544"/>
      <c r="F1432" s="544"/>
      <c r="G1432" s="544"/>
      <c r="H1432" s="544"/>
      <c r="I1432" s="543"/>
      <c r="J1432" s="543"/>
      <c r="K1432" s="544"/>
      <c r="L1432" s="543"/>
      <c r="M1432" s="544"/>
      <c r="N1432" s="543"/>
      <c r="O1432" s="544"/>
      <c r="P1432" s="544"/>
      <c r="Q1432" s="544"/>
      <c r="R1432" s="544"/>
      <c r="S1432" s="544"/>
    </row>
    <row r="1433" ht="14.25" customHeight="1">
      <c r="A1433" s="542"/>
      <c r="B1433" s="543"/>
      <c r="C1433" s="543"/>
      <c r="D1433" s="544"/>
      <c r="E1433" s="544"/>
      <c r="F1433" s="544"/>
      <c r="G1433" s="544"/>
      <c r="H1433" s="544"/>
      <c r="I1433" s="543"/>
      <c r="J1433" s="543"/>
      <c r="K1433" s="544"/>
      <c r="L1433" s="543"/>
      <c r="M1433" s="544"/>
      <c r="N1433" s="543"/>
      <c r="O1433" s="544"/>
      <c r="P1433" s="544"/>
      <c r="Q1433" s="544"/>
      <c r="R1433" s="544"/>
      <c r="S1433" s="544"/>
    </row>
    <row r="1434" ht="14.25" customHeight="1">
      <c r="A1434" s="542"/>
      <c r="B1434" s="543"/>
      <c r="C1434" s="543"/>
      <c r="D1434" s="544"/>
      <c r="E1434" s="544"/>
      <c r="F1434" s="544"/>
      <c r="G1434" s="544"/>
      <c r="H1434" s="544"/>
      <c r="I1434" s="543"/>
      <c r="J1434" s="543"/>
      <c r="K1434" s="544"/>
      <c r="L1434" s="543"/>
      <c r="M1434" s="544"/>
      <c r="N1434" s="543"/>
      <c r="O1434" s="544"/>
      <c r="P1434" s="544"/>
      <c r="Q1434" s="544"/>
      <c r="R1434" s="544"/>
      <c r="S1434" s="544"/>
    </row>
    <row r="1435" ht="14.25" customHeight="1">
      <c r="A1435" s="542"/>
      <c r="B1435" s="543"/>
      <c r="C1435" s="543"/>
      <c r="D1435" s="544"/>
      <c r="E1435" s="544"/>
      <c r="F1435" s="544"/>
      <c r="G1435" s="544"/>
      <c r="H1435" s="544"/>
      <c r="I1435" s="543"/>
      <c r="J1435" s="543"/>
      <c r="K1435" s="544"/>
      <c r="L1435" s="543"/>
      <c r="M1435" s="544"/>
      <c r="N1435" s="543"/>
      <c r="O1435" s="544"/>
      <c r="P1435" s="544"/>
      <c r="Q1435" s="544"/>
      <c r="R1435" s="544"/>
      <c r="S1435" s="544"/>
    </row>
    <row r="1436" ht="14.25" customHeight="1">
      <c r="A1436" s="542"/>
      <c r="B1436" s="543"/>
      <c r="C1436" s="543"/>
      <c r="D1436" s="544"/>
      <c r="E1436" s="544"/>
      <c r="F1436" s="544"/>
      <c r="G1436" s="544"/>
      <c r="H1436" s="544"/>
      <c r="I1436" s="543"/>
      <c r="J1436" s="543"/>
      <c r="K1436" s="544"/>
      <c r="L1436" s="543"/>
      <c r="M1436" s="544"/>
      <c r="N1436" s="543"/>
      <c r="O1436" s="544"/>
      <c r="P1436" s="544"/>
      <c r="Q1436" s="544"/>
      <c r="R1436" s="544"/>
      <c r="S1436" s="544"/>
    </row>
    <row r="1437" ht="14.25" customHeight="1">
      <c r="A1437" s="542"/>
      <c r="B1437" s="543"/>
      <c r="C1437" s="543"/>
      <c r="D1437" s="544"/>
      <c r="E1437" s="544"/>
      <c r="F1437" s="544"/>
      <c r="G1437" s="544"/>
      <c r="H1437" s="544"/>
      <c r="I1437" s="543"/>
      <c r="J1437" s="543"/>
      <c r="K1437" s="544"/>
      <c r="L1437" s="543"/>
      <c r="M1437" s="544"/>
      <c r="N1437" s="543"/>
      <c r="O1437" s="544"/>
      <c r="P1437" s="544"/>
      <c r="Q1437" s="544"/>
      <c r="R1437" s="544"/>
      <c r="S1437" s="544"/>
    </row>
    <row r="1438" ht="14.25" customHeight="1">
      <c r="A1438" s="542"/>
      <c r="B1438" s="543"/>
      <c r="C1438" s="543"/>
      <c r="D1438" s="544"/>
      <c r="E1438" s="544"/>
      <c r="F1438" s="544"/>
      <c r="G1438" s="544"/>
      <c r="H1438" s="544"/>
      <c r="I1438" s="543"/>
      <c r="J1438" s="543"/>
      <c r="K1438" s="544"/>
      <c r="L1438" s="543"/>
      <c r="M1438" s="544"/>
      <c r="N1438" s="543"/>
      <c r="O1438" s="544"/>
      <c r="P1438" s="544"/>
      <c r="Q1438" s="544"/>
      <c r="R1438" s="544"/>
      <c r="S1438" s="544"/>
    </row>
    <row r="1439" ht="14.25" customHeight="1">
      <c r="A1439" s="542"/>
      <c r="B1439" s="543"/>
      <c r="C1439" s="543"/>
      <c r="D1439" s="544"/>
      <c r="E1439" s="544"/>
      <c r="F1439" s="544"/>
      <c r="G1439" s="544"/>
      <c r="H1439" s="544"/>
      <c r="I1439" s="543"/>
      <c r="J1439" s="543"/>
      <c r="K1439" s="544"/>
      <c r="L1439" s="543"/>
      <c r="M1439" s="544"/>
      <c r="N1439" s="543"/>
      <c r="O1439" s="544"/>
      <c r="P1439" s="544"/>
      <c r="Q1439" s="544"/>
      <c r="R1439" s="544"/>
      <c r="S1439" s="544"/>
    </row>
    <row r="1440" ht="14.25" customHeight="1">
      <c r="A1440" s="542"/>
      <c r="B1440" s="543"/>
      <c r="C1440" s="543"/>
      <c r="D1440" s="544"/>
      <c r="E1440" s="544"/>
      <c r="F1440" s="544"/>
      <c r="G1440" s="544"/>
      <c r="H1440" s="544"/>
      <c r="I1440" s="543"/>
      <c r="J1440" s="543"/>
      <c r="K1440" s="544"/>
      <c r="L1440" s="543"/>
      <c r="M1440" s="544"/>
      <c r="N1440" s="543"/>
      <c r="O1440" s="544"/>
      <c r="P1440" s="544"/>
      <c r="Q1440" s="544"/>
      <c r="R1440" s="544"/>
      <c r="S1440" s="544"/>
    </row>
    <row r="1441" ht="14.25" customHeight="1">
      <c r="A1441" s="542"/>
      <c r="B1441" s="543"/>
      <c r="C1441" s="543"/>
      <c r="D1441" s="544"/>
      <c r="E1441" s="544"/>
      <c r="F1441" s="544"/>
      <c r="G1441" s="544"/>
      <c r="H1441" s="544"/>
      <c r="I1441" s="543"/>
      <c r="J1441" s="543"/>
      <c r="K1441" s="544"/>
      <c r="L1441" s="543"/>
      <c r="M1441" s="544"/>
      <c r="N1441" s="543"/>
      <c r="O1441" s="544"/>
      <c r="P1441" s="544"/>
      <c r="Q1441" s="544"/>
      <c r="R1441" s="544"/>
      <c r="S1441" s="544"/>
    </row>
    <row r="1442" ht="14.25" customHeight="1">
      <c r="A1442" s="542"/>
      <c r="B1442" s="543"/>
      <c r="C1442" s="543"/>
      <c r="D1442" s="544"/>
      <c r="E1442" s="544"/>
      <c r="F1442" s="544"/>
      <c r="G1442" s="544"/>
      <c r="H1442" s="544"/>
      <c r="I1442" s="543"/>
      <c r="J1442" s="543"/>
      <c r="K1442" s="544"/>
      <c r="L1442" s="543"/>
      <c r="M1442" s="544"/>
      <c r="N1442" s="543"/>
      <c r="O1442" s="544"/>
      <c r="P1442" s="544"/>
      <c r="Q1442" s="544"/>
      <c r="R1442" s="544"/>
      <c r="S1442" s="544"/>
    </row>
    <row r="1443" ht="14.25" customHeight="1">
      <c r="A1443" s="542"/>
      <c r="B1443" s="543"/>
      <c r="C1443" s="543"/>
      <c r="D1443" s="544"/>
      <c r="E1443" s="544"/>
      <c r="F1443" s="544"/>
      <c r="G1443" s="544"/>
      <c r="H1443" s="544"/>
      <c r="I1443" s="543"/>
      <c r="J1443" s="543"/>
      <c r="K1443" s="544"/>
      <c r="L1443" s="543"/>
      <c r="M1443" s="544"/>
      <c r="N1443" s="543"/>
      <c r="O1443" s="544"/>
      <c r="P1443" s="544"/>
      <c r="Q1443" s="544"/>
      <c r="R1443" s="544"/>
      <c r="S1443" s="544"/>
    </row>
    <row r="1444" ht="14.25" customHeight="1">
      <c r="A1444" s="542"/>
      <c r="B1444" s="543"/>
      <c r="C1444" s="543"/>
      <c r="D1444" s="544"/>
      <c r="E1444" s="544"/>
      <c r="F1444" s="544"/>
      <c r="G1444" s="544"/>
      <c r="H1444" s="544"/>
      <c r="I1444" s="543"/>
      <c r="J1444" s="543"/>
      <c r="K1444" s="544"/>
      <c r="L1444" s="543"/>
      <c r="M1444" s="544"/>
      <c r="N1444" s="543"/>
      <c r="O1444" s="544"/>
      <c r="P1444" s="544"/>
      <c r="Q1444" s="544"/>
      <c r="R1444" s="544"/>
      <c r="S1444" s="544"/>
    </row>
    <row r="1445" ht="14.25" customHeight="1">
      <c r="A1445" s="542"/>
      <c r="B1445" s="543"/>
      <c r="C1445" s="543"/>
      <c r="D1445" s="544"/>
      <c r="E1445" s="544"/>
      <c r="F1445" s="544"/>
      <c r="G1445" s="544"/>
      <c r="H1445" s="544"/>
      <c r="I1445" s="543"/>
      <c r="J1445" s="543"/>
      <c r="K1445" s="544"/>
      <c r="L1445" s="543"/>
      <c r="M1445" s="544"/>
      <c r="N1445" s="543"/>
      <c r="O1445" s="544"/>
      <c r="P1445" s="544"/>
      <c r="Q1445" s="544"/>
      <c r="R1445" s="544"/>
      <c r="S1445" s="544"/>
    </row>
    <row r="1446" ht="14.25" customHeight="1">
      <c r="A1446" s="542"/>
      <c r="B1446" s="543"/>
      <c r="C1446" s="543"/>
      <c r="D1446" s="544"/>
      <c r="E1446" s="544"/>
      <c r="F1446" s="544"/>
      <c r="G1446" s="544"/>
      <c r="H1446" s="544"/>
      <c r="I1446" s="543"/>
      <c r="J1446" s="543"/>
      <c r="K1446" s="544"/>
      <c r="L1446" s="543"/>
      <c r="M1446" s="544"/>
      <c r="N1446" s="543"/>
      <c r="O1446" s="544"/>
      <c r="P1446" s="544"/>
      <c r="Q1446" s="544"/>
      <c r="R1446" s="544"/>
      <c r="S1446" s="544"/>
    </row>
    <row r="1447" ht="14.25" customHeight="1">
      <c r="A1447" s="542"/>
      <c r="B1447" s="543"/>
      <c r="C1447" s="543"/>
      <c r="D1447" s="544"/>
      <c r="E1447" s="544"/>
      <c r="F1447" s="544"/>
      <c r="G1447" s="544"/>
      <c r="H1447" s="544"/>
      <c r="I1447" s="543"/>
      <c r="J1447" s="543"/>
      <c r="K1447" s="544"/>
      <c r="L1447" s="543"/>
      <c r="M1447" s="544"/>
      <c r="N1447" s="543"/>
      <c r="O1447" s="544"/>
      <c r="P1447" s="544"/>
      <c r="Q1447" s="544"/>
      <c r="R1447" s="544"/>
      <c r="S1447" s="544"/>
    </row>
    <row r="1448" ht="14.25" customHeight="1">
      <c r="A1448" s="542"/>
      <c r="B1448" s="543"/>
      <c r="C1448" s="543"/>
      <c r="D1448" s="544"/>
      <c r="E1448" s="544"/>
      <c r="F1448" s="544"/>
      <c r="G1448" s="544"/>
      <c r="H1448" s="544"/>
      <c r="I1448" s="543"/>
      <c r="J1448" s="543"/>
      <c r="K1448" s="544"/>
      <c r="L1448" s="543"/>
      <c r="M1448" s="544"/>
      <c r="N1448" s="543"/>
      <c r="O1448" s="544"/>
      <c r="P1448" s="544"/>
      <c r="Q1448" s="544"/>
      <c r="R1448" s="544"/>
      <c r="S1448" s="544"/>
    </row>
    <row r="1449" ht="14.25" customHeight="1">
      <c r="A1449" s="542"/>
      <c r="B1449" s="543"/>
      <c r="C1449" s="543"/>
      <c r="D1449" s="544"/>
      <c r="E1449" s="544"/>
      <c r="F1449" s="544"/>
      <c r="G1449" s="544"/>
      <c r="H1449" s="544"/>
      <c r="I1449" s="543"/>
      <c r="J1449" s="543"/>
      <c r="K1449" s="544"/>
      <c r="L1449" s="543"/>
      <c r="M1449" s="544"/>
      <c r="N1449" s="543"/>
      <c r="O1449" s="544"/>
      <c r="P1449" s="544"/>
      <c r="Q1449" s="544"/>
      <c r="R1449" s="544"/>
      <c r="S1449" s="544"/>
    </row>
    <row r="1450" ht="14.25" customHeight="1">
      <c r="A1450" s="542"/>
      <c r="B1450" s="543"/>
      <c r="C1450" s="543"/>
      <c r="D1450" s="544"/>
      <c r="E1450" s="544"/>
      <c r="F1450" s="544"/>
      <c r="G1450" s="544"/>
      <c r="H1450" s="544"/>
      <c r="I1450" s="543"/>
      <c r="J1450" s="543"/>
      <c r="K1450" s="544"/>
      <c r="L1450" s="543"/>
      <c r="M1450" s="544"/>
      <c r="N1450" s="543"/>
      <c r="O1450" s="544"/>
      <c r="P1450" s="544"/>
      <c r="Q1450" s="544"/>
      <c r="R1450" s="544"/>
      <c r="S1450" s="544"/>
    </row>
    <row r="1451" ht="14.25" customHeight="1">
      <c r="A1451" s="542"/>
      <c r="B1451" s="543"/>
      <c r="C1451" s="543"/>
      <c r="D1451" s="544"/>
      <c r="E1451" s="544"/>
      <c r="F1451" s="544"/>
      <c r="G1451" s="544"/>
      <c r="H1451" s="544"/>
      <c r="I1451" s="543"/>
      <c r="J1451" s="543"/>
      <c r="K1451" s="544"/>
      <c r="L1451" s="543"/>
      <c r="M1451" s="544"/>
      <c r="N1451" s="543"/>
      <c r="O1451" s="544"/>
      <c r="P1451" s="544"/>
      <c r="Q1451" s="544"/>
      <c r="R1451" s="544"/>
      <c r="S1451" s="544"/>
    </row>
    <row r="1452" ht="14.25" customHeight="1">
      <c r="A1452" s="542"/>
      <c r="B1452" s="543"/>
      <c r="C1452" s="543"/>
      <c r="D1452" s="544"/>
      <c r="E1452" s="544"/>
      <c r="F1452" s="544"/>
      <c r="G1452" s="544"/>
      <c r="H1452" s="544"/>
      <c r="I1452" s="543"/>
      <c r="J1452" s="543"/>
      <c r="K1452" s="544"/>
      <c r="L1452" s="543"/>
      <c r="M1452" s="544"/>
      <c r="N1452" s="543"/>
      <c r="O1452" s="544"/>
      <c r="P1452" s="544"/>
      <c r="Q1452" s="544"/>
      <c r="R1452" s="544"/>
      <c r="S1452" s="544"/>
    </row>
    <row r="1453" ht="14.25" customHeight="1">
      <c r="A1453" s="542"/>
      <c r="B1453" s="543"/>
      <c r="C1453" s="543"/>
      <c r="D1453" s="544"/>
      <c r="E1453" s="544"/>
      <c r="F1453" s="544"/>
      <c r="G1453" s="544"/>
      <c r="H1453" s="544"/>
      <c r="I1453" s="543"/>
      <c r="J1453" s="543"/>
      <c r="K1453" s="544"/>
      <c r="L1453" s="543"/>
      <c r="M1453" s="544"/>
      <c r="N1453" s="543"/>
      <c r="O1453" s="544"/>
      <c r="P1453" s="544"/>
      <c r="Q1453" s="544"/>
      <c r="R1453" s="544"/>
      <c r="S1453" s="544"/>
    </row>
    <row r="1454" ht="14.25" customHeight="1">
      <c r="A1454" s="542"/>
      <c r="B1454" s="543"/>
      <c r="C1454" s="543"/>
      <c r="D1454" s="544"/>
      <c r="E1454" s="544"/>
      <c r="F1454" s="544"/>
      <c r="G1454" s="544"/>
      <c r="H1454" s="544"/>
      <c r="I1454" s="543"/>
      <c r="J1454" s="543"/>
      <c r="K1454" s="544"/>
      <c r="L1454" s="543"/>
      <c r="M1454" s="544"/>
      <c r="N1454" s="543"/>
      <c r="O1454" s="544"/>
      <c r="P1454" s="544"/>
      <c r="Q1454" s="544"/>
      <c r="R1454" s="544"/>
      <c r="S1454" s="544"/>
    </row>
    <row r="1455" ht="14.25" customHeight="1">
      <c r="A1455" s="542"/>
      <c r="B1455" s="543"/>
      <c r="C1455" s="543"/>
      <c r="D1455" s="544"/>
      <c r="E1455" s="544"/>
      <c r="F1455" s="544"/>
      <c r="G1455" s="544"/>
      <c r="H1455" s="544"/>
      <c r="I1455" s="543"/>
      <c r="J1455" s="543"/>
      <c r="K1455" s="544"/>
      <c r="L1455" s="543"/>
      <c r="M1455" s="544"/>
      <c r="N1455" s="543"/>
      <c r="O1455" s="544"/>
      <c r="P1455" s="544"/>
      <c r="Q1455" s="544"/>
      <c r="R1455" s="544"/>
      <c r="S1455" s="544"/>
    </row>
    <row r="1456" ht="14.25" customHeight="1">
      <c r="A1456" s="542"/>
      <c r="B1456" s="543"/>
      <c r="C1456" s="543"/>
      <c r="D1456" s="544"/>
      <c r="E1456" s="544"/>
      <c r="F1456" s="544"/>
      <c r="G1456" s="544"/>
      <c r="H1456" s="544"/>
      <c r="I1456" s="543"/>
      <c r="J1456" s="543"/>
      <c r="K1456" s="544"/>
      <c r="L1456" s="543"/>
      <c r="M1456" s="544"/>
      <c r="N1456" s="543"/>
      <c r="O1456" s="544"/>
      <c r="P1456" s="544"/>
      <c r="Q1456" s="544"/>
      <c r="R1456" s="544"/>
      <c r="S1456" s="544"/>
    </row>
    <row r="1457" ht="14.25" customHeight="1">
      <c r="A1457" s="542"/>
      <c r="B1457" s="543"/>
      <c r="C1457" s="543"/>
      <c r="D1457" s="544"/>
      <c r="E1457" s="544"/>
      <c r="F1457" s="544"/>
      <c r="G1457" s="544"/>
      <c r="H1457" s="544"/>
      <c r="I1457" s="543"/>
      <c r="J1457" s="543"/>
      <c r="K1457" s="544"/>
      <c r="L1457" s="543"/>
      <c r="M1457" s="544"/>
      <c r="N1457" s="543"/>
      <c r="O1457" s="544"/>
      <c r="P1457" s="544"/>
      <c r="Q1457" s="544"/>
      <c r="R1457" s="544"/>
      <c r="S1457" s="544"/>
    </row>
    <row r="1458" ht="14.25" customHeight="1">
      <c r="A1458" s="542"/>
      <c r="B1458" s="543"/>
      <c r="C1458" s="543"/>
      <c r="D1458" s="544"/>
      <c r="E1458" s="544"/>
      <c r="F1458" s="544"/>
      <c r="G1458" s="544"/>
      <c r="H1458" s="544"/>
      <c r="I1458" s="543"/>
      <c r="J1458" s="543"/>
      <c r="K1458" s="544"/>
      <c r="L1458" s="543"/>
      <c r="M1458" s="544"/>
      <c r="N1458" s="543"/>
      <c r="O1458" s="544"/>
      <c r="P1458" s="544"/>
      <c r="Q1458" s="544"/>
      <c r="R1458" s="544"/>
      <c r="S1458" s="544"/>
    </row>
    <row r="1459" ht="14.25" customHeight="1">
      <c r="A1459" s="542"/>
      <c r="B1459" s="543"/>
      <c r="C1459" s="543"/>
      <c r="D1459" s="544"/>
      <c r="E1459" s="544"/>
      <c r="F1459" s="544"/>
      <c r="G1459" s="544"/>
      <c r="H1459" s="544"/>
      <c r="I1459" s="543"/>
      <c r="J1459" s="543"/>
      <c r="K1459" s="544"/>
      <c r="L1459" s="543"/>
      <c r="M1459" s="544"/>
      <c r="N1459" s="543"/>
      <c r="O1459" s="544"/>
      <c r="P1459" s="544"/>
      <c r="Q1459" s="544"/>
      <c r="R1459" s="544"/>
      <c r="S1459" s="544"/>
    </row>
    <row r="1460" ht="14.25" customHeight="1">
      <c r="A1460" s="542"/>
      <c r="B1460" s="543"/>
      <c r="C1460" s="543"/>
      <c r="D1460" s="544"/>
      <c r="E1460" s="544"/>
      <c r="F1460" s="544"/>
      <c r="G1460" s="544"/>
      <c r="H1460" s="544"/>
      <c r="I1460" s="543"/>
      <c r="J1460" s="543"/>
      <c r="K1460" s="544"/>
      <c r="L1460" s="543"/>
      <c r="M1460" s="544"/>
      <c r="N1460" s="543"/>
      <c r="O1460" s="544"/>
      <c r="P1460" s="544"/>
      <c r="Q1460" s="544"/>
      <c r="R1460" s="544"/>
      <c r="S1460" s="544"/>
    </row>
    <row r="1461" ht="14.25" customHeight="1">
      <c r="A1461" s="542"/>
      <c r="B1461" s="543"/>
      <c r="C1461" s="543"/>
      <c r="D1461" s="544"/>
      <c r="E1461" s="544"/>
      <c r="F1461" s="544"/>
      <c r="G1461" s="544"/>
      <c r="H1461" s="544"/>
      <c r="I1461" s="543"/>
      <c r="J1461" s="543"/>
      <c r="K1461" s="544"/>
      <c r="L1461" s="543"/>
      <c r="M1461" s="544"/>
      <c r="N1461" s="543"/>
      <c r="O1461" s="544"/>
      <c r="P1461" s="544"/>
      <c r="Q1461" s="544"/>
      <c r="R1461" s="544"/>
      <c r="S1461" s="544"/>
    </row>
    <row r="1462" ht="14.25" customHeight="1">
      <c r="A1462" s="542"/>
      <c r="B1462" s="543"/>
      <c r="C1462" s="543"/>
      <c r="D1462" s="544"/>
      <c r="E1462" s="544"/>
      <c r="F1462" s="544"/>
      <c r="G1462" s="544"/>
      <c r="H1462" s="544"/>
      <c r="I1462" s="543"/>
      <c r="J1462" s="543"/>
      <c r="K1462" s="544"/>
      <c r="L1462" s="543"/>
      <c r="M1462" s="544"/>
      <c r="N1462" s="543"/>
      <c r="O1462" s="544"/>
      <c r="P1462" s="544"/>
      <c r="Q1462" s="544"/>
      <c r="R1462" s="544"/>
      <c r="S1462" s="544"/>
    </row>
    <row r="1463" ht="14.25" customHeight="1">
      <c r="A1463" s="542"/>
      <c r="B1463" s="543"/>
      <c r="C1463" s="543"/>
      <c r="D1463" s="544"/>
      <c r="E1463" s="544"/>
      <c r="F1463" s="544"/>
      <c r="G1463" s="544"/>
      <c r="H1463" s="544"/>
      <c r="I1463" s="543"/>
      <c r="J1463" s="543"/>
      <c r="K1463" s="544"/>
      <c r="L1463" s="543"/>
      <c r="M1463" s="544"/>
      <c r="N1463" s="543"/>
      <c r="O1463" s="544"/>
      <c r="P1463" s="544"/>
      <c r="Q1463" s="544"/>
      <c r="R1463" s="544"/>
      <c r="S1463" s="544"/>
    </row>
    <row r="1464" ht="14.25" customHeight="1">
      <c r="A1464" s="542"/>
      <c r="B1464" s="543"/>
      <c r="C1464" s="543"/>
      <c r="D1464" s="544"/>
      <c r="E1464" s="544"/>
      <c r="F1464" s="544"/>
      <c r="G1464" s="544"/>
      <c r="H1464" s="544"/>
      <c r="I1464" s="543"/>
      <c r="J1464" s="543"/>
      <c r="K1464" s="544"/>
      <c r="L1464" s="543"/>
      <c r="M1464" s="544"/>
      <c r="N1464" s="543"/>
      <c r="O1464" s="544"/>
      <c r="P1464" s="544"/>
      <c r="Q1464" s="544"/>
      <c r="R1464" s="544"/>
      <c r="S1464" s="544"/>
    </row>
    <row r="1465" ht="14.25" customHeight="1">
      <c r="A1465" s="542"/>
      <c r="B1465" s="543"/>
      <c r="C1465" s="543"/>
      <c r="D1465" s="544"/>
      <c r="E1465" s="544"/>
      <c r="F1465" s="544"/>
      <c r="G1465" s="544"/>
      <c r="H1465" s="544"/>
      <c r="I1465" s="543"/>
      <c r="J1465" s="543"/>
      <c r="K1465" s="544"/>
      <c r="L1465" s="543"/>
      <c r="M1465" s="544"/>
      <c r="N1465" s="543"/>
      <c r="O1465" s="544"/>
      <c r="P1465" s="544"/>
      <c r="Q1465" s="544"/>
      <c r="R1465" s="544"/>
      <c r="S1465" s="544"/>
    </row>
    <row r="1466" ht="14.25" customHeight="1">
      <c r="A1466" s="542"/>
      <c r="B1466" s="543"/>
      <c r="C1466" s="543"/>
      <c r="D1466" s="544"/>
      <c r="E1466" s="544"/>
      <c r="F1466" s="544"/>
      <c r="G1466" s="544"/>
      <c r="H1466" s="544"/>
      <c r="I1466" s="543"/>
      <c r="J1466" s="543"/>
      <c r="K1466" s="544"/>
      <c r="L1466" s="543"/>
      <c r="M1466" s="544"/>
      <c r="N1466" s="543"/>
      <c r="O1466" s="544"/>
      <c r="P1466" s="544"/>
      <c r="Q1466" s="544"/>
      <c r="R1466" s="544"/>
      <c r="S1466" s="544"/>
    </row>
    <row r="1467" ht="14.25" customHeight="1">
      <c r="A1467" s="542"/>
      <c r="B1467" s="543"/>
      <c r="C1467" s="543"/>
      <c r="D1467" s="544"/>
      <c r="E1467" s="544"/>
      <c r="F1467" s="544"/>
      <c r="G1467" s="544"/>
      <c r="H1467" s="544"/>
      <c r="I1467" s="543"/>
      <c r="J1467" s="543"/>
      <c r="K1467" s="544"/>
      <c r="L1467" s="543"/>
      <c r="M1467" s="544"/>
      <c r="N1467" s="543"/>
      <c r="O1467" s="544"/>
      <c r="P1467" s="544"/>
      <c r="Q1467" s="544"/>
      <c r="R1467" s="544"/>
      <c r="S1467" s="544"/>
    </row>
    <row r="1468" ht="14.25" customHeight="1">
      <c r="A1468" s="542"/>
      <c r="B1468" s="543"/>
      <c r="C1468" s="543"/>
      <c r="D1468" s="544"/>
      <c r="E1468" s="544"/>
      <c r="F1468" s="544"/>
      <c r="G1468" s="544"/>
      <c r="H1468" s="544"/>
      <c r="I1468" s="543"/>
      <c r="J1468" s="543"/>
      <c r="K1468" s="544"/>
      <c r="L1468" s="543"/>
      <c r="M1468" s="544"/>
      <c r="N1468" s="543"/>
      <c r="O1468" s="544"/>
      <c r="P1468" s="544"/>
      <c r="Q1468" s="544"/>
      <c r="R1468" s="544"/>
      <c r="S1468" s="544"/>
    </row>
    <row r="1469" ht="14.25" customHeight="1">
      <c r="A1469" s="542"/>
      <c r="B1469" s="543"/>
      <c r="C1469" s="543"/>
      <c r="D1469" s="544"/>
      <c r="E1469" s="544"/>
      <c r="F1469" s="544"/>
      <c r="G1469" s="544"/>
      <c r="H1469" s="544"/>
      <c r="I1469" s="543"/>
      <c r="J1469" s="543"/>
      <c r="K1469" s="544"/>
      <c r="L1469" s="543"/>
      <c r="M1469" s="544"/>
      <c r="N1469" s="543"/>
      <c r="O1469" s="544"/>
      <c r="P1469" s="544"/>
      <c r="Q1469" s="544"/>
      <c r="R1469" s="544"/>
      <c r="S1469" s="544"/>
    </row>
    <row r="1470" ht="14.25" customHeight="1">
      <c r="A1470" s="542"/>
      <c r="B1470" s="543"/>
      <c r="C1470" s="543"/>
      <c r="D1470" s="544"/>
      <c r="E1470" s="544"/>
      <c r="F1470" s="544"/>
      <c r="G1470" s="544"/>
      <c r="H1470" s="544"/>
      <c r="I1470" s="543"/>
      <c r="J1470" s="543"/>
      <c r="K1470" s="544"/>
      <c r="L1470" s="543"/>
      <c r="M1470" s="544"/>
      <c r="N1470" s="543"/>
      <c r="O1470" s="544"/>
      <c r="P1470" s="544"/>
      <c r="Q1470" s="544"/>
      <c r="R1470" s="544"/>
      <c r="S1470" s="544"/>
    </row>
    <row r="1471" ht="14.25" customHeight="1">
      <c r="A1471" s="542"/>
      <c r="B1471" s="543"/>
      <c r="C1471" s="543"/>
      <c r="D1471" s="544"/>
      <c r="E1471" s="544"/>
      <c r="F1471" s="544"/>
      <c r="G1471" s="544"/>
      <c r="H1471" s="544"/>
      <c r="I1471" s="543"/>
      <c r="J1471" s="543"/>
      <c r="K1471" s="544"/>
      <c r="L1471" s="543"/>
      <c r="M1471" s="544"/>
      <c r="N1471" s="543"/>
      <c r="O1471" s="544"/>
      <c r="P1471" s="544"/>
      <c r="Q1471" s="544"/>
      <c r="R1471" s="544"/>
      <c r="S1471" s="544"/>
    </row>
    <row r="1472" ht="14.25" customHeight="1">
      <c r="A1472" s="542"/>
      <c r="B1472" s="543"/>
      <c r="C1472" s="543"/>
      <c r="D1472" s="544"/>
      <c r="E1472" s="544"/>
      <c r="F1472" s="544"/>
      <c r="G1472" s="544"/>
      <c r="H1472" s="544"/>
      <c r="I1472" s="543"/>
      <c r="J1472" s="543"/>
      <c r="K1472" s="544"/>
      <c r="L1472" s="543"/>
      <c r="M1472" s="544"/>
      <c r="N1472" s="543"/>
      <c r="O1472" s="544"/>
      <c r="P1472" s="544"/>
      <c r="Q1472" s="544"/>
      <c r="R1472" s="544"/>
      <c r="S1472" s="544"/>
    </row>
    <row r="1473" ht="14.25" customHeight="1">
      <c r="A1473" s="542"/>
      <c r="B1473" s="543"/>
      <c r="C1473" s="543"/>
      <c r="D1473" s="544"/>
      <c r="E1473" s="544"/>
      <c r="F1473" s="544"/>
      <c r="G1473" s="544"/>
      <c r="H1473" s="544"/>
      <c r="I1473" s="543"/>
      <c r="J1473" s="543"/>
      <c r="K1473" s="544"/>
      <c r="L1473" s="543"/>
      <c r="M1473" s="544"/>
      <c r="N1473" s="543"/>
      <c r="O1473" s="544"/>
      <c r="P1473" s="544"/>
      <c r="Q1473" s="544"/>
      <c r="R1473" s="544"/>
      <c r="S1473" s="544"/>
    </row>
    <row r="1474" ht="14.25" customHeight="1">
      <c r="A1474" s="542"/>
      <c r="B1474" s="543"/>
      <c r="C1474" s="543"/>
      <c r="D1474" s="544"/>
      <c r="E1474" s="544"/>
      <c r="F1474" s="544"/>
      <c r="G1474" s="544"/>
      <c r="H1474" s="544"/>
      <c r="I1474" s="543"/>
      <c r="J1474" s="543"/>
      <c r="K1474" s="544"/>
      <c r="L1474" s="543"/>
      <c r="M1474" s="544"/>
      <c r="N1474" s="543"/>
      <c r="O1474" s="544"/>
      <c r="P1474" s="544"/>
      <c r="Q1474" s="544"/>
      <c r="R1474" s="544"/>
      <c r="S1474" s="544"/>
    </row>
    <row r="1475" ht="14.25" customHeight="1">
      <c r="A1475" s="542"/>
      <c r="B1475" s="543"/>
      <c r="C1475" s="543"/>
      <c r="D1475" s="544"/>
      <c r="E1475" s="544"/>
      <c r="F1475" s="544"/>
      <c r="G1475" s="544"/>
      <c r="H1475" s="544"/>
      <c r="I1475" s="543"/>
      <c r="J1475" s="543"/>
      <c r="K1475" s="544"/>
      <c r="L1475" s="543"/>
      <c r="M1475" s="544"/>
      <c r="N1475" s="543"/>
      <c r="O1475" s="544"/>
      <c r="P1475" s="544"/>
      <c r="Q1475" s="544"/>
      <c r="R1475" s="544"/>
      <c r="S1475" s="544"/>
    </row>
    <row r="1476" ht="14.25" customHeight="1">
      <c r="A1476" s="542"/>
      <c r="B1476" s="543"/>
      <c r="C1476" s="543"/>
      <c r="D1476" s="544"/>
      <c r="E1476" s="544"/>
      <c r="F1476" s="544"/>
      <c r="G1476" s="544"/>
      <c r="H1476" s="544"/>
      <c r="I1476" s="543"/>
      <c r="J1476" s="543"/>
      <c r="K1476" s="544"/>
      <c r="L1476" s="543"/>
      <c r="M1476" s="544"/>
      <c r="N1476" s="543"/>
      <c r="O1476" s="544"/>
      <c r="P1476" s="544"/>
      <c r="Q1476" s="544"/>
      <c r="R1476" s="544"/>
      <c r="S1476" s="544"/>
    </row>
    <row r="1477" ht="14.25" customHeight="1">
      <c r="A1477" s="542"/>
      <c r="B1477" s="543"/>
      <c r="C1477" s="543"/>
      <c r="D1477" s="544"/>
      <c r="E1477" s="544"/>
      <c r="F1477" s="544"/>
      <c r="G1477" s="544"/>
      <c r="H1477" s="544"/>
      <c r="I1477" s="543"/>
      <c r="J1477" s="543"/>
      <c r="K1477" s="544"/>
      <c r="L1477" s="543"/>
      <c r="M1477" s="544"/>
      <c r="N1477" s="543"/>
      <c r="O1477" s="544"/>
      <c r="P1477" s="544"/>
      <c r="Q1477" s="544"/>
      <c r="R1477" s="544"/>
      <c r="S1477" s="544"/>
    </row>
    <row r="1478" ht="14.25" customHeight="1">
      <c r="A1478" s="542"/>
      <c r="B1478" s="543"/>
      <c r="C1478" s="543"/>
      <c r="D1478" s="544"/>
      <c r="E1478" s="544"/>
      <c r="F1478" s="544"/>
      <c r="G1478" s="544"/>
      <c r="H1478" s="544"/>
      <c r="I1478" s="543"/>
      <c r="J1478" s="543"/>
      <c r="K1478" s="544"/>
      <c r="L1478" s="543"/>
      <c r="M1478" s="544"/>
      <c r="N1478" s="543"/>
      <c r="O1478" s="544"/>
      <c r="P1478" s="544"/>
      <c r="Q1478" s="544"/>
      <c r="R1478" s="544"/>
      <c r="S1478" s="544"/>
    </row>
    <row r="1479" ht="14.25" customHeight="1">
      <c r="A1479" s="542"/>
      <c r="B1479" s="543"/>
      <c r="C1479" s="543"/>
      <c r="D1479" s="544"/>
      <c r="E1479" s="544"/>
      <c r="F1479" s="544"/>
      <c r="G1479" s="544"/>
      <c r="H1479" s="544"/>
      <c r="I1479" s="543"/>
      <c r="J1479" s="543"/>
      <c r="K1479" s="544"/>
      <c r="L1479" s="543"/>
      <c r="M1479" s="544"/>
      <c r="N1479" s="543"/>
      <c r="O1479" s="544"/>
      <c r="P1479" s="544"/>
      <c r="Q1479" s="544"/>
      <c r="R1479" s="544"/>
      <c r="S1479" s="544"/>
    </row>
    <row r="1480" ht="14.25" customHeight="1">
      <c r="A1480" s="542"/>
      <c r="B1480" s="543"/>
      <c r="C1480" s="543"/>
      <c r="D1480" s="544"/>
      <c r="E1480" s="544"/>
      <c r="F1480" s="544"/>
      <c r="G1480" s="544"/>
      <c r="H1480" s="544"/>
      <c r="I1480" s="543"/>
      <c r="J1480" s="543"/>
      <c r="K1480" s="544"/>
      <c r="L1480" s="543"/>
      <c r="M1480" s="544"/>
      <c r="N1480" s="543"/>
      <c r="O1480" s="544"/>
      <c r="P1480" s="544"/>
      <c r="Q1480" s="544"/>
      <c r="R1480" s="544"/>
      <c r="S1480" s="544"/>
    </row>
    <row r="1481" ht="14.25" customHeight="1">
      <c r="A1481" s="542"/>
      <c r="B1481" s="543"/>
      <c r="C1481" s="543"/>
      <c r="D1481" s="544"/>
      <c r="E1481" s="544"/>
      <c r="F1481" s="544"/>
      <c r="G1481" s="544"/>
      <c r="H1481" s="544"/>
      <c r="I1481" s="543"/>
      <c r="J1481" s="543"/>
      <c r="K1481" s="544"/>
      <c r="L1481" s="543"/>
      <c r="M1481" s="544"/>
      <c r="N1481" s="543"/>
      <c r="O1481" s="544"/>
      <c r="P1481" s="544"/>
      <c r="Q1481" s="544"/>
      <c r="R1481" s="544"/>
      <c r="S1481" s="544"/>
    </row>
    <row r="1482" ht="14.25" customHeight="1">
      <c r="A1482" s="542"/>
      <c r="B1482" s="543"/>
      <c r="C1482" s="543"/>
      <c r="D1482" s="544"/>
      <c r="E1482" s="544"/>
      <c r="F1482" s="544"/>
      <c r="G1482" s="544"/>
      <c r="H1482" s="544"/>
      <c r="I1482" s="543"/>
      <c r="J1482" s="543"/>
      <c r="K1482" s="544"/>
      <c r="L1482" s="543"/>
      <c r="M1482" s="544"/>
      <c r="N1482" s="543"/>
      <c r="O1482" s="544"/>
      <c r="P1482" s="544"/>
      <c r="Q1482" s="544"/>
      <c r="R1482" s="544"/>
      <c r="S1482" s="544"/>
    </row>
    <row r="1483" ht="14.25" customHeight="1">
      <c r="A1483" s="542"/>
      <c r="B1483" s="543"/>
      <c r="C1483" s="543"/>
      <c r="D1483" s="544"/>
      <c r="E1483" s="544"/>
      <c r="F1483" s="544"/>
      <c r="G1483" s="544"/>
      <c r="H1483" s="544"/>
      <c r="I1483" s="543"/>
      <c r="J1483" s="543"/>
      <c r="K1483" s="544"/>
      <c r="L1483" s="543"/>
      <c r="M1483" s="544"/>
      <c r="N1483" s="543"/>
      <c r="O1483" s="544"/>
      <c r="P1483" s="544"/>
      <c r="Q1483" s="544"/>
      <c r="R1483" s="544"/>
      <c r="S1483" s="544"/>
    </row>
    <row r="1484" ht="14.25" customHeight="1">
      <c r="A1484" s="542"/>
      <c r="B1484" s="543"/>
      <c r="C1484" s="543"/>
      <c r="D1484" s="544"/>
      <c r="E1484" s="544"/>
      <c r="F1484" s="544"/>
      <c r="G1484" s="544"/>
      <c r="H1484" s="544"/>
      <c r="I1484" s="543"/>
      <c r="J1484" s="543"/>
      <c r="K1484" s="544"/>
      <c r="L1484" s="543"/>
      <c r="M1484" s="544"/>
      <c r="N1484" s="543"/>
      <c r="O1484" s="544"/>
      <c r="P1484" s="544"/>
      <c r="Q1484" s="544"/>
      <c r="R1484" s="544"/>
      <c r="S1484" s="544"/>
    </row>
    <row r="1485" ht="14.25" customHeight="1">
      <c r="A1485" s="542"/>
      <c r="B1485" s="543"/>
      <c r="C1485" s="543"/>
      <c r="D1485" s="544"/>
      <c r="E1485" s="544"/>
      <c r="F1485" s="544"/>
      <c r="G1485" s="544"/>
      <c r="H1485" s="544"/>
      <c r="I1485" s="543"/>
      <c r="J1485" s="543"/>
      <c r="K1485" s="544"/>
      <c r="L1485" s="543"/>
      <c r="M1485" s="544"/>
      <c r="N1485" s="543"/>
      <c r="O1485" s="544"/>
      <c r="P1485" s="544"/>
      <c r="Q1485" s="544"/>
      <c r="R1485" s="544"/>
      <c r="S1485" s="544"/>
    </row>
    <row r="1486" ht="14.25" customHeight="1">
      <c r="A1486" s="542"/>
      <c r="B1486" s="543"/>
      <c r="C1486" s="543"/>
      <c r="D1486" s="544"/>
      <c r="E1486" s="544"/>
      <c r="F1486" s="544"/>
      <c r="G1486" s="544"/>
      <c r="H1486" s="544"/>
      <c r="I1486" s="543"/>
      <c r="J1486" s="543"/>
      <c r="K1486" s="544"/>
      <c r="L1486" s="543"/>
      <c r="M1486" s="544"/>
      <c r="N1486" s="543"/>
      <c r="O1486" s="544"/>
      <c r="P1486" s="544"/>
      <c r="Q1486" s="544"/>
      <c r="R1486" s="544"/>
      <c r="S1486" s="544"/>
    </row>
    <row r="1487" ht="14.25" customHeight="1">
      <c r="A1487" s="542"/>
      <c r="B1487" s="543"/>
      <c r="C1487" s="543"/>
      <c r="D1487" s="544"/>
      <c r="E1487" s="544"/>
      <c r="F1487" s="544"/>
      <c r="G1487" s="544"/>
      <c r="H1487" s="544"/>
      <c r="I1487" s="543"/>
      <c r="J1487" s="543"/>
      <c r="K1487" s="544"/>
      <c r="L1487" s="543"/>
      <c r="M1487" s="544"/>
      <c r="N1487" s="543"/>
      <c r="O1487" s="544"/>
      <c r="P1487" s="544"/>
      <c r="Q1487" s="544"/>
      <c r="R1487" s="544"/>
      <c r="S1487" s="544"/>
    </row>
    <row r="1488" ht="14.25" customHeight="1">
      <c r="A1488" s="542"/>
      <c r="B1488" s="543"/>
      <c r="C1488" s="543"/>
      <c r="D1488" s="544"/>
      <c r="E1488" s="544"/>
      <c r="F1488" s="544"/>
      <c r="G1488" s="544"/>
      <c r="H1488" s="544"/>
      <c r="I1488" s="543"/>
      <c r="J1488" s="543"/>
      <c r="K1488" s="544"/>
      <c r="L1488" s="543"/>
      <c r="M1488" s="544"/>
      <c r="N1488" s="543"/>
      <c r="O1488" s="544"/>
      <c r="P1488" s="544"/>
      <c r="Q1488" s="544"/>
      <c r="R1488" s="544"/>
      <c r="S1488" s="544"/>
    </row>
    <row r="1489" ht="14.25" customHeight="1">
      <c r="A1489" s="542"/>
      <c r="B1489" s="543"/>
      <c r="C1489" s="543"/>
      <c r="D1489" s="544"/>
      <c r="E1489" s="544"/>
      <c r="F1489" s="544"/>
      <c r="G1489" s="544"/>
      <c r="H1489" s="544"/>
      <c r="I1489" s="543"/>
      <c r="J1489" s="543"/>
      <c r="K1489" s="544"/>
      <c r="L1489" s="543"/>
      <c r="M1489" s="544"/>
      <c r="N1489" s="543"/>
      <c r="O1489" s="544"/>
      <c r="P1489" s="544"/>
      <c r="Q1489" s="544"/>
      <c r="R1489" s="544"/>
      <c r="S1489" s="544"/>
    </row>
    <row r="1490" ht="14.25" customHeight="1">
      <c r="A1490" s="542"/>
      <c r="B1490" s="543"/>
      <c r="C1490" s="543"/>
      <c r="D1490" s="544"/>
      <c r="E1490" s="544"/>
      <c r="F1490" s="544"/>
      <c r="G1490" s="544"/>
      <c r="H1490" s="544"/>
      <c r="I1490" s="543"/>
      <c r="J1490" s="543"/>
      <c r="K1490" s="544"/>
      <c r="L1490" s="543"/>
      <c r="M1490" s="544"/>
      <c r="N1490" s="543"/>
      <c r="O1490" s="544"/>
      <c r="P1490" s="544"/>
      <c r="Q1490" s="544"/>
      <c r="R1490" s="544"/>
      <c r="S1490" s="544"/>
    </row>
    <row r="1491" ht="14.25" customHeight="1">
      <c r="A1491" s="542"/>
      <c r="B1491" s="543"/>
      <c r="C1491" s="543"/>
      <c r="D1491" s="544"/>
      <c r="E1491" s="544"/>
      <c r="F1491" s="544"/>
      <c r="G1491" s="544"/>
      <c r="H1491" s="544"/>
      <c r="I1491" s="543"/>
      <c r="J1491" s="543"/>
      <c r="K1491" s="544"/>
      <c r="L1491" s="543"/>
      <c r="M1491" s="544"/>
      <c r="N1491" s="543"/>
      <c r="O1491" s="544"/>
      <c r="P1491" s="544"/>
      <c r="Q1491" s="544"/>
      <c r="R1491" s="544"/>
      <c r="S1491" s="544"/>
    </row>
    <row r="1492" ht="14.25" customHeight="1">
      <c r="A1492" s="542"/>
      <c r="B1492" s="543"/>
      <c r="C1492" s="543"/>
      <c r="D1492" s="544"/>
      <c r="E1492" s="544"/>
      <c r="F1492" s="544"/>
      <c r="G1492" s="544"/>
      <c r="H1492" s="544"/>
      <c r="I1492" s="543"/>
      <c r="J1492" s="543"/>
      <c r="K1492" s="544"/>
      <c r="L1492" s="543"/>
      <c r="M1492" s="544"/>
      <c r="N1492" s="543"/>
      <c r="O1492" s="544"/>
      <c r="P1492" s="544"/>
      <c r="Q1492" s="544"/>
      <c r="R1492" s="544"/>
      <c r="S1492" s="544"/>
    </row>
    <row r="1493" ht="14.25" customHeight="1">
      <c r="A1493" s="542"/>
      <c r="B1493" s="543"/>
      <c r="C1493" s="543"/>
      <c r="D1493" s="544"/>
      <c r="E1493" s="544"/>
      <c r="F1493" s="544"/>
      <c r="G1493" s="544"/>
      <c r="H1493" s="544"/>
      <c r="I1493" s="543"/>
      <c r="J1493" s="543"/>
      <c r="K1493" s="544"/>
      <c r="L1493" s="543"/>
      <c r="M1493" s="544"/>
      <c r="N1493" s="543"/>
      <c r="O1493" s="544"/>
      <c r="P1493" s="544"/>
      <c r="Q1493" s="544"/>
      <c r="R1493" s="544"/>
      <c r="S1493" s="544"/>
    </row>
    <row r="1494" ht="14.25" customHeight="1">
      <c r="A1494" s="542"/>
      <c r="B1494" s="543"/>
      <c r="C1494" s="543"/>
      <c r="D1494" s="544"/>
      <c r="E1494" s="544"/>
      <c r="F1494" s="544"/>
      <c r="G1494" s="544"/>
      <c r="H1494" s="544"/>
      <c r="I1494" s="543"/>
      <c r="J1494" s="543"/>
      <c r="K1494" s="544"/>
      <c r="L1494" s="543"/>
      <c r="M1494" s="544"/>
      <c r="N1494" s="543"/>
      <c r="O1494" s="544"/>
      <c r="P1494" s="544"/>
      <c r="Q1494" s="544"/>
      <c r="R1494" s="544"/>
      <c r="S1494" s="544"/>
    </row>
    <row r="1495" ht="14.25" customHeight="1">
      <c r="A1495" s="542"/>
      <c r="B1495" s="543"/>
      <c r="C1495" s="543"/>
      <c r="D1495" s="544"/>
      <c r="E1495" s="544"/>
      <c r="F1495" s="544"/>
      <c r="G1495" s="544"/>
      <c r="H1495" s="544"/>
      <c r="I1495" s="543"/>
      <c r="J1495" s="543"/>
      <c r="K1495" s="544"/>
      <c r="L1495" s="543"/>
      <c r="M1495" s="544"/>
      <c r="N1495" s="543"/>
      <c r="O1495" s="544"/>
      <c r="P1495" s="544"/>
      <c r="Q1495" s="544"/>
      <c r="R1495" s="544"/>
      <c r="S1495" s="544"/>
    </row>
    <row r="1496" ht="14.25" customHeight="1">
      <c r="A1496" s="542"/>
      <c r="B1496" s="543"/>
      <c r="C1496" s="543"/>
      <c r="D1496" s="544"/>
      <c r="E1496" s="544"/>
      <c r="F1496" s="544"/>
      <c r="G1496" s="544"/>
      <c r="H1496" s="544"/>
      <c r="I1496" s="543"/>
      <c r="J1496" s="543"/>
      <c r="K1496" s="544"/>
      <c r="L1496" s="543"/>
      <c r="M1496" s="544"/>
      <c r="N1496" s="543"/>
      <c r="O1496" s="544"/>
      <c r="P1496" s="544"/>
      <c r="Q1496" s="544"/>
      <c r="R1496" s="544"/>
      <c r="S1496" s="544"/>
    </row>
    <row r="1497" ht="14.25" customHeight="1">
      <c r="A1497" s="542"/>
      <c r="B1497" s="543"/>
      <c r="C1497" s="543"/>
      <c r="D1497" s="544"/>
      <c r="E1497" s="544"/>
      <c r="F1497" s="544"/>
      <c r="G1497" s="544"/>
      <c r="H1497" s="544"/>
      <c r="I1497" s="543"/>
      <c r="J1497" s="543"/>
      <c r="K1497" s="544"/>
      <c r="L1497" s="543"/>
      <c r="M1497" s="544"/>
      <c r="N1497" s="543"/>
      <c r="O1497" s="544"/>
      <c r="P1497" s="544"/>
      <c r="Q1497" s="544"/>
      <c r="R1497" s="544"/>
      <c r="S1497" s="544"/>
    </row>
    <row r="1498" ht="14.25" customHeight="1">
      <c r="A1498" s="542"/>
      <c r="B1498" s="543"/>
      <c r="C1498" s="543"/>
      <c r="D1498" s="544"/>
      <c r="E1498" s="544"/>
      <c r="F1498" s="544"/>
      <c r="G1498" s="544"/>
      <c r="H1498" s="544"/>
      <c r="I1498" s="543"/>
      <c r="J1498" s="543"/>
      <c r="K1498" s="544"/>
      <c r="L1498" s="543"/>
      <c r="M1498" s="544"/>
      <c r="N1498" s="543"/>
      <c r="O1498" s="544"/>
      <c r="P1498" s="544"/>
      <c r="Q1498" s="544"/>
      <c r="R1498" s="544"/>
      <c r="S1498" s="544"/>
    </row>
    <row r="1499" ht="14.25" customHeight="1">
      <c r="A1499" s="542"/>
      <c r="B1499" s="543"/>
      <c r="C1499" s="543"/>
      <c r="D1499" s="544"/>
      <c r="E1499" s="544"/>
      <c r="F1499" s="544"/>
      <c r="G1499" s="544"/>
      <c r="H1499" s="544"/>
      <c r="I1499" s="543"/>
      <c r="J1499" s="543"/>
      <c r="K1499" s="544"/>
      <c r="L1499" s="543"/>
      <c r="M1499" s="544"/>
      <c r="N1499" s="543"/>
      <c r="O1499" s="544"/>
      <c r="P1499" s="544"/>
      <c r="Q1499" s="544"/>
      <c r="R1499" s="544"/>
      <c r="S1499" s="544"/>
    </row>
    <row r="1500" ht="14.25" customHeight="1">
      <c r="A1500" s="542"/>
      <c r="B1500" s="543"/>
      <c r="C1500" s="543"/>
      <c r="D1500" s="544"/>
      <c r="E1500" s="544"/>
      <c r="F1500" s="544"/>
      <c r="G1500" s="544"/>
      <c r="H1500" s="544"/>
      <c r="I1500" s="543"/>
      <c r="J1500" s="543"/>
      <c r="K1500" s="544"/>
      <c r="L1500" s="543"/>
      <c r="M1500" s="544"/>
      <c r="N1500" s="543"/>
      <c r="O1500" s="544"/>
      <c r="P1500" s="544"/>
      <c r="Q1500" s="544"/>
      <c r="R1500" s="544"/>
      <c r="S1500" s="544"/>
    </row>
    <row r="1501" ht="14.25" customHeight="1">
      <c r="A1501" s="542"/>
      <c r="B1501" s="543"/>
      <c r="C1501" s="543"/>
      <c r="D1501" s="544"/>
      <c r="E1501" s="544"/>
      <c r="F1501" s="544"/>
      <c r="G1501" s="544"/>
      <c r="H1501" s="544"/>
      <c r="I1501" s="543"/>
      <c r="J1501" s="543"/>
      <c r="K1501" s="544"/>
      <c r="L1501" s="543"/>
      <c r="M1501" s="544"/>
      <c r="N1501" s="543"/>
      <c r="O1501" s="544"/>
      <c r="P1501" s="544"/>
      <c r="Q1501" s="544"/>
      <c r="R1501" s="544"/>
      <c r="S1501" s="544"/>
    </row>
    <row r="1502" ht="14.25" customHeight="1">
      <c r="A1502" s="542"/>
      <c r="B1502" s="543"/>
      <c r="C1502" s="543"/>
      <c r="D1502" s="544"/>
      <c r="E1502" s="544"/>
      <c r="F1502" s="544"/>
      <c r="G1502" s="544"/>
      <c r="H1502" s="544"/>
      <c r="I1502" s="543"/>
      <c r="J1502" s="543"/>
      <c r="K1502" s="544"/>
      <c r="L1502" s="543"/>
      <c r="M1502" s="544"/>
      <c r="N1502" s="543"/>
      <c r="O1502" s="544"/>
      <c r="P1502" s="544"/>
      <c r="Q1502" s="544"/>
      <c r="R1502" s="544"/>
      <c r="S1502" s="544"/>
    </row>
    <row r="1503" ht="14.25" customHeight="1">
      <c r="A1503" s="542"/>
      <c r="B1503" s="543"/>
      <c r="C1503" s="543"/>
      <c r="D1503" s="544"/>
      <c r="E1503" s="544"/>
      <c r="F1503" s="544"/>
      <c r="G1503" s="544"/>
      <c r="H1503" s="544"/>
      <c r="I1503" s="543"/>
      <c r="J1503" s="543"/>
      <c r="K1503" s="544"/>
      <c r="L1503" s="543"/>
      <c r="M1503" s="544"/>
      <c r="N1503" s="543"/>
      <c r="O1503" s="544"/>
      <c r="P1503" s="544"/>
      <c r="Q1503" s="544"/>
      <c r="R1503" s="544"/>
      <c r="S1503" s="544"/>
    </row>
    <row r="1504" ht="14.25" customHeight="1">
      <c r="A1504" s="542"/>
      <c r="B1504" s="543"/>
      <c r="C1504" s="543"/>
      <c r="D1504" s="544"/>
      <c r="E1504" s="544"/>
      <c r="F1504" s="544"/>
      <c r="G1504" s="544"/>
      <c r="H1504" s="544"/>
      <c r="I1504" s="543"/>
      <c r="J1504" s="543"/>
      <c r="K1504" s="544"/>
      <c r="L1504" s="543"/>
      <c r="M1504" s="544"/>
      <c r="N1504" s="543"/>
      <c r="O1504" s="544"/>
      <c r="P1504" s="544"/>
      <c r="Q1504" s="544"/>
      <c r="R1504" s="544"/>
      <c r="S1504" s="544"/>
    </row>
    <row r="1505" ht="14.25" customHeight="1">
      <c r="A1505" s="542"/>
      <c r="B1505" s="543"/>
      <c r="C1505" s="543"/>
      <c r="D1505" s="544"/>
      <c r="E1505" s="544"/>
      <c r="F1505" s="544"/>
      <c r="G1505" s="544"/>
      <c r="H1505" s="544"/>
      <c r="I1505" s="543"/>
      <c r="J1505" s="543"/>
      <c r="K1505" s="544"/>
      <c r="L1505" s="543"/>
      <c r="M1505" s="544"/>
      <c r="N1505" s="543"/>
      <c r="O1505" s="544"/>
      <c r="P1505" s="544"/>
      <c r="Q1505" s="544"/>
      <c r="R1505" s="544"/>
      <c r="S1505" s="544"/>
    </row>
    <row r="1506" ht="14.25" customHeight="1">
      <c r="A1506" s="542"/>
      <c r="B1506" s="543"/>
      <c r="C1506" s="543"/>
      <c r="D1506" s="544"/>
      <c r="E1506" s="544"/>
      <c r="F1506" s="544"/>
      <c r="G1506" s="544"/>
      <c r="H1506" s="544"/>
      <c r="I1506" s="543"/>
      <c r="J1506" s="543"/>
      <c r="K1506" s="544"/>
      <c r="L1506" s="543"/>
      <c r="M1506" s="544"/>
      <c r="N1506" s="543"/>
      <c r="O1506" s="544"/>
      <c r="P1506" s="544"/>
      <c r="Q1506" s="544"/>
      <c r="R1506" s="544"/>
      <c r="S1506" s="544"/>
    </row>
    <row r="1507" ht="14.25" customHeight="1">
      <c r="A1507" s="542"/>
      <c r="B1507" s="543"/>
      <c r="C1507" s="543"/>
      <c r="D1507" s="544"/>
      <c r="E1507" s="544"/>
      <c r="F1507" s="544"/>
      <c r="G1507" s="544"/>
      <c r="H1507" s="544"/>
      <c r="I1507" s="543"/>
      <c r="J1507" s="543"/>
      <c r="K1507" s="544"/>
      <c r="L1507" s="543"/>
      <c r="M1507" s="544"/>
      <c r="N1507" s="543"/>
      <c r="O1507" s="544"/>
      <c r="P1507" s="544"/>
      <c r="Q1507" s="544"/>
      <c r="R1507" s="544"/>
      <c r="S1507" s="544"/>
    </row>
    <row r="1508" ht="14.25" customHeight="1">
      <c r="A1508" s="542"/>
      <c r="B1508" s="543"/>
      <c r="C1508" s="543"/>
      <c r="D1508" s="544"/>
      <c r="E1508" s="544"/>
      <c r="F1508" s="544"/>
      <c r="G1508" s="544"/>
      <c r="H1508" s="544"/>
      <c r="I1508" s="543"/>
      <c r="J1508" s="543"/>
      <c r="K1508" s="544"/>
      <c r="L1508" s="543"/>
      <c r="M1508" s="544"/>
      <c r="N1508" s="543"/>
      <c r="O1508" s="544"/>
      <c r="P1508" s="544"/>
      <c r="Q1508" s="544"/>
      <c r="R1508" s="544"/>
      <c r="S1508" s="544"/>
    </row>
    <row r="1509" ht="14.25" customHeight="1">
      <c r="A1509" s="542"/>
      <c r="B1509" s="543"/>
      <c r="C1509" s="543"/>
      <c r="D1509" s="544"/>
      <c r="E1509" s="544"/>
      <c r="F1509" s="544"/>
      <c r="G1509" s="544"/>
      <c r="H1509" s="544"/>
      <c r="I1509" s="543"/>
      <c r="J1509" s="543"/>
      <c r="K1509" s="544"/>
      <c r="L1509" s="543"/>
      <c r="M1509" s="544"/>
      <c r="N1509" s="543"/>
      <c r="O1509" s="544"/>
      <c r="P1509" s="544"/>
      <c r="Q1509" s="544"/>
      <c r="R1509" s="544"/>
      <c r="S1509" s="544"/>
    </row>
    <row r="1510" ht="14.25" customHeight="1">
      <c r="A1510" s="542"/>
      <c r="B1510" s="543"/>
      <c r="C1510" s="543"/>
      <c r="D1510" s="544"/>
      <c r="E1510" s="544"/>
      <c r="F1510" s="544"/>
      <c r="G1510" s="544"/>
      <c r="H1510" s="544"/>
      <c r="I1510" s="543"/>
      <c r="J1510" s="543"/>
      <c r="K1510" s="544"/>
      <c r="L1510" s="543"/>
      <c r="M1510" s="544"/>
      <c r="N1510" s="543"/>
      <c r="O1510" s="544"/>
      <c r="P1510" s="544"/>
      <c r="Q1510" s="544"/>
      <c r="R1510" s="544"/>
      <c r="S1510" s="544"/>
    </row>
    <row r="1511" ht="14.25" customHeight="1">
      <c r="A1511" s="542"/>
      <c r="B1511" s="543"/>
      <c r="C1511" s="543"/>
      <c r="D1511" s="544"/>
      <c r="E1511" s="544"/>
      <c r="F1511" s="544"/>
      <c r="G1511" s="544"/>
      <c r="H1511" s="544"/>
      <c r="I1511" s="543"/>
      <c r="J1511" s="543"/>
      <c r="K1511" s="544"/>
      <c r="L1511" s="543"/>
      <c r="M1511" s="544"/>
      <c r="N1511" s="543"/>
      <c r="O1511" s="544"/>
      <c r="P1511" s="544"/>
      <c r="Q1511" s="544"/>
      <c r="R1511" s="544"/>
      <c r="S1511" s="544"/>
    </row>
    <row r="1512" ht="14.25" customHeight="1">
      <c r="A1512" s="542"/>
      <c r="B1512" s="543"/>
      <c r="C1512" s="543"/>
      <c r="D1512" s="544"/>
      <c r="E1512" s="544"/>
      <c r="F1512" s="544"/>
      <c r="G1512" s="544"/>
      <c r="H1512" s="544"/>
      <c r="I1512" s="543"/>
      <c r="J1512" s="543"/>
      <c r="K1512" s="544"/>
      <c r="L1512" s="543"/>
      <c r="M1512" s="544"/>
      <c r="N1512" s="543"/>
      <c r="O1512" s="544"/>
      <c r="P1512" s="544"/>
      <c r="Q1512" s="544"/>
      <c r="R1512" s="544"/>
      <c r="S1512" s="544"/>
    </row>
    <row r="1513" ht="14.25" customHeight="1">
      <c r="A1513" s="542"/>
      <c r="B1513" s="543"/>
      <c r="C1513" s="543"/>
      <c r="D1513" s="544"/>
      <c r="E1513" s="544"/>
      <c r="F1513" s="544"/>
      <c r="G1513" s="544"/>
      <c r="H1513" s="544"/>
      <c r="I1513" s="543"/>
      <c r="J1513" s="543"/>
      <c r="K1513" s="544"/>
      <c r="L1513" s="543"/>
      <c r="M1513" s="544"/>
      <c r="N1513" s="543"/>
      <c r="O1513" s="544"/>
      <c r="P1513" s="544"/>
      <c r="Q1513" s="544"/>
      <c r="R1513" s="544"/>
      <c r="S1513" s="544"/>
    </row>
    <row r="1514" ht="14.25" customHeight="1">
      <c r="A1514" s="542"/>
      <c r="B1514" s="543"/>
      <c r="C1514" s="543"/>
      <c r="D1514" s="544"/>
      <c r="E1514" s="544"/>
      <c r="F1514" s="544"/>
      <c r="G1514" s="544"/>
      <c r="H1514" s="544"/>
      <c r="I1514" s="543"/>
      <c r="J1514" s="543"/>
      <c r="K1514" s="544"/>
      <c r="L1514" s="543"/>
      <c r="M1514" s="544"/>
      <c r="N1514" s="543"/>
      <c r="O1514" s="544"/>
      <c r="P1514" s="544"/>
      <c r="Q1514" s="544"/>
      <c r="R1514" s="544"/>
      <c r="S1514" s="544"/>
    </row>
    <row r="1515" ht="14.25" customHeight="1">
      <c r="A1515" s="542"/>
      <c r="B1515" s="543"/>
      <c r="C1515" s="543"/>
      <c r="D1515" s="544"/>
      <c r="E1515" s="544"/>
      <c r="F1515" s="544"/>
      <c r="G1515" s="544"/>
      <c r="H1515" s="544"/>
      <c r="I1515" s="543"/>
      <c r="J1515" s="543"/>
      <c r="K1515" s="544"/>
      <c r="L1515" s="543"/>
      <c r="M1515" s="544"/>
      <c r="N1515" s="543"/>
      <c r="O1515" s="544"/>
      <c r="P1515" s="544"/>
      <c r="Q1515" s="544"/>
      <c r="R1515" s="544"/>
      <c r="S1515" s="544"/>
    </row>
    <row r="1516" ht="14.25" customHeight="1">
      <c r="A1516" s="542"/>
      <c r="B1516" s="543"/>
      <c r="C1516" s="543"/>
      <c r="D1516" s="544"/>
      <c r="E1516" s="544"/>
      <c r="F1516" s="544"/>
      <c r="G1516" s="544"/>
      <c r="H1516" s="544"/>
      <c r="I1516" s="543"/>
      <c r="J1516" s="543"/>
      <c r="K1516" s="544"/>
      <c r="L1516" s="543"/>
      <c r="M1516" s="544"/>
      <c r="N1516" s="543"/>
      <c r="O1516" s="544"/>
      <c r="P1516" s="544"/>
      <c r="Q1516" s="544"/>
      <c r="R1516" s="544"/>
      <c r="S1516" s="544"/>
    </row>
    <row r="1517" ht="14.25" customHeight="1">
      <c r="A1517" s="542"/>
      <c r="B1517" s="543"/>
      <c r="C1517" s="543"/>
      <c r="D1517" s="544"/>
      <c r="E1517" s="544"/>
      <c r="F1517" s="544"/>
      <c r="G1517" s="544"/>
      <c r="H1517" s="544"/>
      <c r="I1517" s="543"/>
      <c r="J1517" s="543"/>
      <c r="K1517" s="544"/>
      <c r="L1517" s="543"/>
      <c r="M1517" s="544"/>
      <c r="N1517" s="543"/>
      <c r="O1517" s="544"/>
      <c r="P1517" s="544"/>
      <c r="Q1517" s="544"/>
      <c r="R1517" s="544"/>
      <c r="S1517" s="544"/>
    </row>
    <row r="1518" ht="14.25" customHeight="1">
      <c r="A1518" s="542"/>
      <c r="B1518" s="543"/>
      <c r="C1518" s="543"/>
      <c r="D1518" s="544"/>
      <c r="E1518" s="544"/>
      <c r="F1518" s="544"/>
      <c r="G1518" s="544"/>
      <c r="H1518" s="544"/>
      <c r="I1518" s="543"/>
      <c r="J1518" s="543"/>
      <c r="K1518" s="544"/>
      <c r="L1518" s="543"/>
      <c r="M1518" s="544"/>
      <c r="N1518" s="543"/>
      <c r="O1518" s="544"/>
      <c r="P1518" s="544"/>
      <c r="Q1518" s="544"/>
      <c r="R1518" s="544"/>
      <c r="S1518" s="544"/>
    </row>
    <row r="1519" ht="14.25" customHeight="1">
      <c r="A1519" s="542"/>
      <c r="B1519" s="543"/>
      <c r="C1519" s="543"/>
      <c r="D1519" s="544"/>
      <c r="E1519" s="544"/>
      <c r="F1519" s="544"/>
      <c r="G1519" s="544"/>
      <c r="H1519" s="544"/>
      <c r="I1519" s="543"/>
      <c r="J1519" s="543"/>
      <c r="K1519" s="544"/>
      <c r="L1519" s="543"/>
      <c r="M1519" s="544"/>
      <c r="N1519" s="543"/>
      <c r="O1519" s="544"/>
      <c r="P1519" s="544"/>
      <c r="Q1519" s="544"/>
      <c r="R1519" s="544"/>
      <c r="S1519" s="544"/>
    </row>
    <row r="1520" ht="14.25" customHeight="1">
      <c r="A1520" s="542"/>
      <c r="B1520" s="543"/>
      <c r="C1520" s="543"/>
      <c r="D1520" s="544"/>
      <c r="E1520" s="544"/>
      <c r="F1520" s="544"/>
      <c r="G1520" s="544"/>
      <c r="H1520" s="544"/>
      <c r="I1520" s="543"/>
      <c r="J1520" s="543"/>
      <c r="K1520" s="544"/>
      <c r="L1520" s="543"/>
      <c r="M1520" s="544"/>
      <c r="N1520" s="543"/>
      <c r="O1520" s="544"/>
      <c r="P1520" s="544"/>
      <c r="Q1520" s="544"/>
      <c r="R1520" s="544"/>
      <c r="S1520" s="544"/>
    </row>
    <row r="1521" ht="14.25" customHeight="1">
      <c r="A1521" s="542"/>
      <c r="B1521" s="543"/>
      <c r="C1521" s="543"/>
      <c r="D1521" s="544"/>
      <c r="E1521" s="544"/>
      <c r="F1521" s="544"/>
      <c r="G1521" s="544"/>
      <c r="H1521" s="544"/>
      <c r="I1521" s="543"/>
      <c r="J1521" s="543"/>
      <c r="K1521" s="544"/>
      <c r="L1521" s="543"/>
      <c r="M1521" s="544"/>
      <c r="N1521" s="543"/>
      <c r="O1521" s="544"/>
      <c r="P1521" s="544"/>
      <c r="Q1521" s="544"/>
      <c r="R1521" s="544"/>
      <c r="S1521" s="544"/>
    </row>
    <row r="1522" ht="14.25" customHeight="1">
      <c r="A1522" s="542"/>
      <c r="B1522" s="543"/>
      <c r="C1522" s="543"/>
      <c r="D1522" s="544"/>
      <c r="E1522" s="544"/>
      <c r="F1522" s="544"/>
      <c r="G1522" s="544"/>
      <c r="H1522" s="544"/>
      <c r="I1522" s="543"/>
      <c r="J1522" s="543"/>
      <c r="K1522" s="544"/>
      <c r="L1522" s="543"/>
      <c r="M1522" s="544"/>
      <c r="N1522" s="543"/>
      <c r="O1522" s="544"/>
      <c r="P1522" s="544"/>
      <c r="Q1522" s="544"/>
      <c r="R1522" s="544"/>
      <c r="S1522" s="544"/>
    </row>
    <row r="1523" ht="14.25" customHeight="1">
      <c r="A1523" s="542"/>
      <c r="B1523" s="543"/>
      <c r="C1523" s="543"/>
      <c r="D1523" s="544"/>
      <c r="E1523" s="544"/>
      <c r="F1523" s="544"/>
      <c r="G1523" s="544"/>
      <c r="H1523" s="544"/>
      <c r="I1523" s="543"/>
      <c r="J1523" s="543"/>
      <c r="K1523" s="544"/>
      <c r="L1523" s="543"/>
      <c r="M1523" s="544"/>
      <c r="N1523" s="543"/>
      <c r="O1523" s="544"/>
      <c r="P1523" s="544"/>
      <c r="Q1523" s="544"/>
      <c r="R1523" s="544"/>
      <c r="S1523" s="544"/>
    </row>
    <row r="1524" ht="14.25" customHeight="1">
      <c r="A1524" s="542"/>
      <c r="B1524" s="543"/>
      <c r="C1524" s="543"/>
      <c r="D1524" s="544"/>
      <c r="E1524" s="544"/>
      <c r="F1524" s="544"/>
      <c r="G1524" s="544"/>
      <c r="H1524" s="544"/>
      <c r="I1524" s="543"/>
      <c r="J1524" s="543"/>
      <c r="K1524" s="544"/>
      <c r="L1524" s="543"/>
      <c r="M1524" s="544"/>
      <c r="N1524" s="543"/>
      <c r="O1524" s="544"/>
      <c r="P1524" s="544"/>
      <c r="Q1524" s="544"/>
      <c r="R1524" s="544"/>
      <c r="S1524" s="544"/>
    </row>
    <row r="1525" ht="14.25" customHeight="1">
      <c r="A1525" s="542"/>
      <c r="B1525" s="543"/>
      <c r="C1525" s="543"/>
      <c r="D1525" s="544"/>
      <c r="E1525" s="544"/>
      <c r="F1525" s="544"/>
      <c r="G1525" s="544"/>
      <c r="H1525" s="544"/>
      <c r="I1525" s="543"/>
      <c r="J1525" s="543"/>
      <c r="K1525" s="544"/>
      <c r="L1525" s="543"/>
      <c r="M1525" s="544"/>
      <c r="N1525" s="543"/>
      <c r="O1525" s="544"/>
      <c r="P1525" s="544"/>
      <c r="Q1525" s="544"/>
      <c r="R1525" s="544"/>
      <c r="S1525" s="544"/>
    </row>
    <row r="1526" ht="14.25" customHeight="1">
      <c r="A1526" s="542"/>
      <c r="B1526" s="543"/>
      <c r="C1526" s="543"/>
      <c r="D1526" s="544"/>
      <c r="E1526" s="544"/>
      <c r="F1526" s="544"/>
      <c r="G1526" s="544"/>
      <c r="H1526" s="544"/>
      <c r="I1526" s="543"/>
      <c r="J1526" s="543"/>
      <c r="K1526" s="544"/>
      <c r="L1526" s="543"/>
      <c r="M1526" s="544"/>
      <c r="N1526" s="543"/>
      <c r="O1526" s="544"/>
      <c r="P1526" s="544"/>
      <c r="Q1526" s="544"/>
      <c r="R1526" s="544"/>
      <c r="S1526" s="544"/>
    </row>
    <row r="1527" ht="14.25" customHeight="1">
      <c r="A1527" s="542"/>
      <c r="B1527" s="543"/>
      <c r="C1527" s="543"/>
      <c r="D1527" s="544"/>
      <c r="E1527" s="544"/>
      <c r="F1527" s="544"/>
      <c r="G1527" s="544"/>
      <c r="H1527" s="544"/>
      <c r="I1527" s="543"/>
      <c r="J1527" s="543"/>
      <c r="K1527" s="544"/>
      <c r="L1527" s="543"/>
      <c r="M1527" s="544"/>
      <c r="N1527" s="543"/>
      <c r="O1527" s="544"/>
      <c r="P1527" s="544"/>
      <c r="Q1527" s="544"/>
      <c r="R1527" s="544"/>
      <c r="S1527" s="544"/>
    </row>
    <row r="1528" ht="14.25" customHeight="1">
      <c r="A1528" s="542"/>
      <c r="B1528" s="543"/>
      <c r="C1528" s="543"/>
      <c r="D1528" s="544"/>
      <c r="E1528" s="544"/>
      <c r="F1528" s="544"/>
      <c r="G1528" s="544"/>
      <c r="H1528" s="544"/>
      <c r="I1528" s="543"/>
      <c r="J1528" s="543"/>
      <c r="K1528" s="544"/>
      <c r="L1528" s="543"/>
      <c r="M1528" s="544"/>
      <c r="N1528" s="543"/>
      <c r="O1528" s="544"/>
      <c r="P1528" s="544"/>
      <c r="Q1528" s="544"/>
      <c r="R1528" s="544"/>
      <c r="S1528" s="544"/>
    </row>
    <row r="1529" ht="14.25" customHeight="1">
      <c r="A1529" s="542"/>
      <c r="B1529" s="543"/>
      <c r="C1529" s="543"/>
      <c r="D1529" s="544"/>
      <c r="E1529" s="544"/>
      <c r="F1529" s="544"/>
      <c r="G1529" s="544"/>
      <c r="H1529" s="544"/>
      <c r="I1529" s="543"/>
      <c r="J1529" s="543"/>
      <c r="K1529" s="544"/>
      <c r="L1529" s="543"/>
      <c r="M1529" s="544"/>
      <c r="N1529" s="543"/>
      <c r="O1529" s="544"/>
      <c r="P1529" s="544"/>
      <c r="Q1529" s="544"/>
      <c r="R1529" s="544"/>
      <c r="S1529" s="544"/>
    </row>
    <row r="1530" ht="14.25" customHeight="1">
      <c r="A1530" s="542"/>
      <c r="B1530" s="543"/>
      <c r="C1530" s="543"/>
      <c r="D1530" s="544"/>
      <c r="E1530" s="544"/>
      <c r="F1530" s="544"/>
      <c r="G1530" s="544"/>
      <c r="H1530" s="544"/>
      <c r="I1530" s="543"/>
      <c r="J1530" s="543"/>
      <c r="K1530" s="544"/>
      <c r="L1530" s="543"/>
      <c r="M1530" s="544"/>
      <c r="N1530" s="543"/>
      <c r="O1530" s="544"/>
      <c r="P1530" s="544"/>
      <c r="Q1530" s="544"/>
      <c r="R1530" s="544"/>
      <c r="S1530" s="544"/>
    </row>
    <row r="1531" ht="14.25" customHeight="1">
      <c r="A1531" s="542"/>
      <c r="B1531" s="543"/>
      <c r="C1531" s="543"/>
      <c r="D1531" s="544"/>
      <c r="E1531" s="544"/>
      <c r="F1531" s="544"/>
      <c r="G1531" s="544"/>
      <c r="H1531" s="544"/>
      <c r="I1531" s="543"/>
      <c r="J1531" s="543"/>
      <c r="K1531" s="544"/>
      <c r="L1531" s="543"/>
      <c r="M1531" s="544"/>
      <c r="N1531" s="543"/>
      <c r="O1531" s="544"/>
      <c r="P1531" s="544"/>
      <c r="Q1531" s="544"/>
      <c r="R1531" s="544"/>
      <c r="S1531" s="544"/>
    </row>
    <row r="1532" ht="14.25" customHeight="1">
      <c r="A1532" s="542"/>
      <c r="B1532" s="543"/>
      <c r="C1532" s="543"/>
      <c r="D1532" s="544"/>
      <c r="E1532" s="544"/>
      <c r="F1532" s="544"/>
      <c r="G1532" s="544"/>
      <c r="H1532" s="544"/>
      <c r="I1532" s="543"/>
      <c r="J1532" s="543"/>
      <c r="K1532" s="544"/>
      <c r="L1532" s="543"/>
      <c r="M1532" s="544"/>
      <c r="N1532" s="543"/>
      <c r="O1532" s="544"/>
      <c r="P1532" s="544"/>
      <c r="Q1532" s="544"/>
      <c r="R1532" s="544"/>
      <c r="S1532" s="544"/>
    </row>
    <row r="1533" ht="14.25" customHeight="1">
      <c r="A1533" s="542"/>
      <c r="B1533" s="543"/>
      <c r="C1533" s="543"/>
      <c r="D1533" s="544"/>
      <c r="E1533" s="544"/>
      <c r="F1533" s="544"/>
      <c r="G1533" s="544"/>
      <c r="H1533" s="544"/>
      <c r="I1533" s="543"/>
      <c r="J1533" s="543"/>
      <c r="K1533" s="544"/>
      <c r="L1533" s="543"/>
      <c r="M1533" s="544"/>
      <c r="N1533" s="543"/>
      <c r="O1533" s="544"/>
      <c r="P1533" s="544"/>
      <c r="Q1533" s="544"/>
      <c r="R1533" s="544"/>
      <c r="S1533" s="544"/>
    </row>
    <row r="1534" ht="14.25" customHeight="1">
      <c r="A1534" s="542"/>
      <c r="B1534" s="543"/>
      <c r="C1534" s="543"/>
      <c r="D1534" s="544"/>
      <c r="E1534" s="544"/>
      <c r="F1534" s="544"/>
      <c r="G1534" s="544"/>
      <c r="H1534" s="544"/>
      <c r="I1534" s="543"/>
      <c r="J1534" s="543"/>
      <c r="K1534" s="544"/>
      <c r="L1534" s="543"/>
      <c r="M1534" s="544"/>
      <c r="N1534" s="543"/>
      <c r="O1534" s="544"/>
      <c r="P1534" s="544"/>
      <c r="Q1534" s="544"/>
      <c r="R1534" s="544"/>
      <c r="S1534" s="544"/>
    </row>
    <row r="1535" ht="14.25" customHeight="1">
      <c r="A1535" s="542"/>
      <c r="B1535" s="543"/>
      <c r="C1535" s="543"/>
      <c r="D1535" s="544"/>
      <c r="E1535" s="544"/>
      <c r="F1535" s="544"/>
      <c r="G1535" s="544"/>
      <c r="H1535" s="544"/>
      <c r="I1535" s="543"/>
      <c r="J1535" s="543"/>
      <c r="K1535" s="544"/>
      <c r="L1535" s="543"/>
      <c r="M1535" s="544"/>
      <c r="N1535" s="543"/>
      <c r="O1535" s="544"/>
      <c r="P1535" s="544"/>
      <c r="Q1535" s="544"/>
      <c r="R1535" s="544"/>
      <c r="S1535" s="544"/>
    </row>
    <row r="1536" ht="14.25" customHeight="1">
      <c r="A1536" s="542"/>
      <c r="B1536" s="543"/>
      <c r="C1536" s="543"/>
      <c r="D1536" s="544"/>
      <c r="E1536" s="544"/>
      <c r="F1536" s="544"/>
      <c r="G1536" s="544"/>
      <c r="H1536" s="544"/>
      <c r="I1536" s="543"/>
      <c r="J1536" s="543"/>
      <c r="K1536" s="544"/>
      <c r="L1536" s="543"/>
      <c r="M1536" s="544"/>
      <c r="N1536" s="543"/>
      <c r="O1536" s="544"/>
      <c r="P1536" s="544"/>
      <c r="Q1536" s="544"/>
      <c r="R1536" s="544"/>
      <c r="S1536" s="544"/>
    </row>
    <row r="1537" ht="14.25" customHeight="1">
      <c r="A1537" s="542"/>
      <c r="B1537" s="543"/>
      <c r="C1537" s="543"/>
      <c r="D1537" s="544"/>
      <c r="E1537" s="544"/>
      <c r="F1537" s="544"/>
      <c r="G1537" s="544"/>
      <c r="H1537" s="544"/>
      <c r="I1537" s="543"/>
      <c r="J1537" s="543"/>
      <c r="K1537" s="544"/>
      <c r="L1537" s="543"/>
      <c r="M1537" s="544"/>
      <c r="N1537" s="543"/>
      <c r="O1537" s="544"/>
      <c r="P1537" s="544"/>
      <c r="Q1537" s="544"/>
      <c r="R1537" s="544"/>
      <c r="S1537" s="544"/>
    </row>
    <row r="1538" ht="14.25" customHeight="1">
      <c r="A1538" s="542"/>
      <c r="B1538" s="543"/>
      <c r="C1538" s="543"/>
      <c r="D1538" s="544"/>
      <c r="E1538" s="544"/>
      <c r="F1538" s="544"/>
      <c r="G1538" s="544"/>
      <c r="H1538" s="544"/>
      <c r="I1538" s="543"/>
      <c r="J1538" s="543"/>
      <c r="K1538" s="544"/>
      <c r="L1538" s="543"/>
      <c r="M1538" s="544"/>
      <c r="N1538" s="543"/>
      <c r="O1538" s="544"/>
      <c r="P1538" s="544"/>
      <c r="Q1538" s="544"/>
      <c r="R1538" s="544"/>
      <c r="S1538" s="544"/>
    </row>
    <row r="1539" ht="14.25" customHeight="1">
      <c r="A1539" s="542"/>
      <c r="B1539" s="543"/>
      <c r="C1539" s="543"/>
      <c r="D1539" s="544"/>
      <c r="E1539" s="544"/>
      <c r="F1539" s="544"/>
      <c r="G1539" s="544"/>
      <c r="H1539" s="544"/>
      <c r="I1539" s="543"/>
      <c r="J1539" s="543"/>
      <c r="K1539" s="544"/>
      <c r="L1539" s="543"/>
      <c r="M1539" s="544"/>
      <c r="N1539" s="543"/>
      <c r="O1539" s="544"/>
      <c r="P1539" s="544"/>
      <c r="Q1539" s="544"/>
      <c r="R1539" s="544"/>
      <c r="S1539" s="544"/>
    </row>
    <row r="1540" ht="14.25" customHeight="1">
      <c r="A1540" s="542"/>
      <c r="B1540" s="543"/>
      <c r="C1540" s="543"/>
      <c r="D1540" s="544"/>
      <c r="E1540" s="544"/>
      <c r="F1540" s="544"/>
      <c r="G1540" s="544"/>
      <c r="H1540" s="544"/>
      <c r="I1540" s="543"/>
      <c r="J1540" s="543"/>
      <c r="K1540" s="544"/>
      <c r="L1540" s="543"/>
      <c r="M1540" s="544"/>
      <c r="N1540" s="543"/>
      <c r="O1540" s="544"/>
      <c r="P1540" s="544"/>
      <c r="Q1540" s="544"/>
      <c r="R1540" s="544"/>
      <c r="S1540" s="544"/>
    </row>
    <row r="1541" ht="14.25" customHeight="1">
      <c r="A1541" s="542"/>
      <c r="B1541" s="543"/>
      <c r="C1541" s="543"/>
      <c r="D1541" s="544"/>
      <c r="E1541" s="544"/>
      <c r="F1541" s="544"/>
      <c r="G1541" s="544"/>
      <c r="H1541" s="544"/>
      <c r="I1541" s="543"/>
      <c r="J1541" s="543"/>
      <c r="K1541" s="544"/>
      <c r="L1541" s="543"/>
      <c r="M1541" s="544"/>
      <c r="N1541" s="543"/>
      <c r="O1541" s="544"/>
      <c r="P1541" s="544"/>
      <c r="Q1541" s="544"/>
      <c r="R1541" s="544"/>
      <c r="S1541" s="544"/>
    </row>
    <row r="1542" ht="14.25" customHeight="1">
      <c r="A1542" s="542"/>
      <c r="B1542" s="543"/>
      <c r="C1542" s="543"/>
      <c r="D1542" s="544"/>
      <c r="E1542" s="544"/>
      <c r="F1542" s="544"/>
      <c r="G1542" s="544"/>
      <c r="H1542" s="544"/>
      <c r="I1542" s="543"/>
      <c r="J1542" s="543"/>
      <c r="K1542" s="544"/>
      <c r="L1542" s="543"/>
      <c r="M1542" s="544"/>
      <c r="N1542" s="543"/>
      <c r="O1542" s="544"/>
      <c r="P1542" s="544"/>
      <c r="Q1542" s="544"/>
      <c r="R1542" s="544"/>
      <c r="S1542" s="544"/>
    </row>
    <row r="1543" ht="14.25" customHeight="1">
      <c r="A1543" s="542"/>
      <c r="B1543" s="543"/>
      <c r="C1543" s="543"/>
      <c r="D1543" s="544"/>
      <c r="E1543" s="544"/>
      <c r="F1543" s="544"/>
      <c r="G1543" s="544"/>
      <c r="H1543" s="544"/>
      <c r="I1543" s="543"/>
      <c r="J1543" s="543"/>
      <c r="K1543" s="544"/>
      <c r="L1543" s="543"/>
      <c r="M1543" s="544"/>
      <c r="N1543" s="543"/>
      <c r="O1543" s="544"/>
      <c r="P1543" s="544"/>
      <c r="Q1543" s="544"/>
      <c r="R1543" s="544"/>
      <c r="S1543" s="544"/>
    </row>
    <row r="1544" ht="14.25" customHeight="1">
      <c r="A1544" s="542"/>
      <c r="B1544" s="543"/>
      <c r="C1544" s="543"/>
      <c r="D1544" s="544"/>
      <c r="E1544" s="544"/>
      <c r="F1544" s="544"/>
      <c r="G1544" s="544"/>
      <c r="H1544" s="544"/>
      <c r="I1544" s="543"/>
      <c r="J1544" s="543"/>
      <c r="K1544" s="544"/>
      <c r="L1544" s="543"/>
      <c r="M1544" s="544"/>
      <c r="N1544" s="543"/>
      <c r="O1544" s="544"/>
      <c r="P1544" s="544"/>
      <c r="Q1544" s="544"/>
      <c r="R1544" s="544"/>
      <c r="S1544" s="544"/>
    </row>
    <row r="1545" ht="14.25" customHeight="1">
      <c r="A1545" s="542"/>
      <c r="B1545" s="543"/>
      <c r="C1545" s="543"/>
      <c r="D1545" s="544"/>
      <c r="E1545" s="544"/>
      <c r="F1545" s="544"/>
      <c r="G1545" s="544"/>
      <c r="H1545" s="544"/>
      <c r="I1545" s="543"/>
      <c r="J1545" s="543"/>
      <c r="K1545" s="544"/>
      <c r="L1545" s="543"/>
      <c r="M1545" s="544"/>
      <c r="N1545" s="543"/>
      <c r="O1545" s="544"/>
      <c r="P1545" s="544"/>
      <c r="Q1545" s="544"/>
      <c r="R1545" s="544"/>
      <c r="S1545" s="544"/>
    </row>
    <row r="1546" ht="14.25" customHeight="1">
      <c r="A1546" s="542"/>
      <c r="B1546" s="543"/>
      <c r="C1546" s="543"/>
      <c r="D1546" s="544"/>
      <c r="E1546" s="544"/>
      <c r="F1546" s="544"/>
      <c r="G1546" s="544"/>
      <c r="H1546" s="544"/>
      <c r="I1546" s="543"/>
      <c r="J1546" s="543"/>
      <c r="K1546" s="544"/>
      <c r="L1546" s="543"/>
      <c r="M1546" s="544"/>
      <c r="N1546" s="543"/>
      <c r="O1546" s="544"/>
      <c r="P1546" s="544"/>
      <c r="Q1546" s="544"/>
      <c r="R1546" s="544"/>
      <c r="S1546" s="544"/>
    </row>
    <row r="1547" ht="14.25" customHeight="1">
      <c r="A1547" s="542"/>
      <c r="B1547" s="543"/>
      <c r="C1547" s="543"/>
      <c r="D1547" s="544"/>
      <c r="E1547" s="544"/>
      <c r="F1547" s="544"/>
      <c r="G1547" s="544"/>
      <c r="H1547" s="544"/>
      <c r="I1547" s="543"/>
      <c r="J1547" s="543"/>
      <c r="K1547" s="544"/>
      <c r="L1547" s="543"/>
      <c r="M1547" s="544"/>
      <c r="N1547" s="543"/>
      <c r="O1547" s="544"/>
      <c r="P1547" s="544"/>
      <c r="Q1547" s="544"/>
      <c r="R1547" s="544"/>
      <c r="S1547" s="544"/>
    </row>
    <row r="1548" ht="14.25" customHeight="1">
      <c r="A1548" s="542"/>
      <c r="B1548" s="543"/>
      <c r="C1548" s="543"/>
      <c r="D1548" s="544"/>
      <c r="E1548" s="544"/>
      <c r="F1548" s="544"/>
      <c r="G1548" s="544"/>
      <c r="H1548" s="544"/>
      <c r="I1548" s="543"/>
      <c r="J1548" s="543"/>
      <c r="K1548" s="544"/>
      <c r="L1548" s="543"/>
      <c r="M1548" s="544"/>
      <c r="N1548" s="543"/>
      <c r="O1548" s="544"/>
      <c r="P1548" s="544"/>
      <c r="Q1548" s="544"/>
      <c r="R1548" s="544"/>
      <c r="S1548" s="544"/>
    </row>
    <row r="1549" ht="14.25" customHeight="1">
      <c r="A1549" s="542"/>
      <c r="B1549" s="543"/>
      <c r="C1549" s="543"/>
      <c r="D1549" s="544"/>
      <c r="E1549" s="544"/>
      <c r="F1549" s="544"/>
      <c r="G1549" s="544"/>
      <c r="H1549" s="544"/>
      <c r="I1549" s="543"/>
      <c r="J1549" s="543"/>
      <c r="K1549" s="544"/>
      <c r="L1549" s="543"/>
      <c r="M1549" s="544"/>
      <c r="N1549" s="543"/>
      <c r="O1549" s="544"/>
      <c r="P1549" s="544"/>
      <c r="Q1549" s="544"/>
      <c r="R1549" s="544"/>
      <c r="S1549" s="544"/>
    </row>
    <row r="1550" ht="14.25" customHeight="1">
      <c r="A1550" s="542"/>
      <c r="B1550" s="543"/>
      <c r="C1550" s="543"/>
      <c r="D1550" s="544"/>
      <c r="E1550" s="544"/>
      <c r="F1550" s="544"/>
      <c r="G1550" s="544"/>
      <c r="H1550" s="544"/>
      <c r="I1550" s="543"/>
      <c r="J1550" s="543"/>
      <c r="K1550" s="544"/>
      <c r="L1550" s="543"/>
      <c r="M1550" s="544"/>
      <c r="N1550" s="543"/>
      <c r="O1550" s="544"/>
      <c r="P1550" s="544"/>
      <c r="Q1550" s="544"/>
      <c r="R1550" s="544"/>
      <c r="S1550" s="544"/>
    </row>
    <row r="1551" ht="14.25" customHeight="1">
      <c r="A1551" s="542"/>
      <c r="B1551" s="543"/>
      <c r="C1551" s="543"/>
      <c r="D1551" s="544"/>
      <c r="E1551" s="544"/>
      <c r="F1551" s="544"/>
      <c r="G1551" s="544"/>
      <c r="H1551" s="544"/>
      <c r="I1551" s="543"/>
      <c r="J1551" s="543"/>
      <c r="K1551" s="544"/>
      <c r="L1551" s="543"/>
      <c r="M1551" s="544"/>
      <c r="N1551" s="543"/>
      <c r="O1551" s="544"/>
      <c r="P1551" s="544"/>
      <c r="Q1551" s="544"/>
      <c r="R1551" s="544"/>
      <c r="S1551" s="544"/>
    </row>
    <row r="1552" ht="14.25" customHeight="1">
      <c r="A1552" s="542"/>
      <c r="B1552" s="543"/>
      <c r="C1552" s="543"/>
      <c r="D1552" s="544"/>
      <c r="E1552" s="544"/>
      <c r="F1552" s="544"/>
      <c r="G1552" s="544"/>
      <c r="H1552" s="544"/>
      <c r="I1552" s="543"/>
      <c r="J1552" s="543"/>
      <c r="K1552" s="544"/>
      <c r="L1552" s="543"/>
      <c r="M1552" s="544"/>
      <c r="N1552" s="543"/>
      <c r="O1552" s="544"/>
      <c r="P1552" s="544"/>
      <c r="Q1552" s="544"/>
      <c r="R1552" s="544"/>
      <c r="S1552" s="544"/>
    </row>
    <row r="1553" ht="14.25" customHeight="1">
      <c r="A1553" s="542"/>
      <c r="B1553" s="543"/>
      <c r="C1553" s="543"/>
      <c r="D1553" s="544"/>
      <c r="E1553" s="544"/>
      <c r="F1553" s="544"/>
      <c r="G1553" s="544"/>
      <c r="H1553" s="544"/>
      <c r="I1553" s="543"/>
      <c r="J1553" s="543"/>
      <c r="K1553" s="544"/>
      <c r="L1553" s="543"/>
      <c r="M1553" s="544"/>
      <c r="N1553" s="543"/>
      <c r="O1553" s="544"/>
      <c r="P1553" s="544"/>
      <c r="Q1553" s="544"/>
      <c r="R1553" s="544"/>
      <c r="S1553" s="544"/>
    </row>
    <row r="1554" ht="14.25" customHeight="1">
      <c r="A1554" s="542"/>
      <c r="B1554" s="543"/>
      <c r="C1554" s="543"/>
      <c r="D1554" s="544"/>
      <c r="E1554" s="544"/>
      <c r="F1554" s="544"/>
      <c r="G1554" s="544"/>
      <c r="H1554" s="544"/>
      <c r="I1554" s="543"/>
      <c r="J1554" s="543"/>
      <c r="K1554" s="544"/>
      <c r="L1554" s="543"/>
      <c r="M1554" s="544"/>
      <c r="N1554" s="543"/>
      <c r="O1554" s="544"/>
      <c r="P1554" s="544"/>
      <c r="Q1554" s="544"/>
      <c r="R1554" s="544"/>
      <c r="S1554" s="544"/>
    </row>
    <row r="1555" ht="14.25" customHeight="1">
      <c r="A1555" s="542"/>
      <c r="B1555" s="543"/>
      <c r="C1555" s="543"/>
      <c r="D1555" s="544"/>
      <c r="E1555" s="544"/>
      <c r="F1555" s="544"/>
      <c r="G1555" s="544"/>
      <c r="H1555" s="544"/>
      <c r="I1555" s="543"/>
      <c r="J1555" s="543"/>
      <c r="K1555" s="544"/>
      <c r="L1555" s="543"/>
      <c r="M1555" s="544"/>
      <c r="N1555" s="543"/>
      <c r="O1555" s="544"/>
      <c r="P1555" s="544"/>
      <c r="Q1555" s="544"/>
      <c r="R1555" s="544"/>
      <c r="S1555" s="544"/>
    </row>
    <row r="1556" ht="14.25" customHeight="1">
      <c r="A1556" s="542"/>
      <c r="B1556" s="543"/>
      <c r="C1556" s="543"/>
      <c r="D1556" s="544"/>
      <c r="E1556" s="544"/>
      <c r="F1556" s="544"/>
      <c r="G1556" s="544"/>
      <c r="H1556" s="544"/>
      <c r="I1556" s="543"/>
      <c r="J1556" s="543"/>
      <c r="K1556" s="544"/>
      <c r="L1556" s="543"/>
      <c r="M1556" s="544"/>
      <c r="N1556" s="543"/>
      <c r="O1556" s="544"/>
      <c r="P1556" s="544"/>
      <c r="Q1556" s="544"/>
      <c r="R1556" s="544"/>
      <c r="S1556" s="544"/>
    </row>
    <row r="1557" ht="14.25" customHeight="1">
      <c r="A1557" s="542"/>
      <c r="B1557" s="543"/>
      <c r="C1557" s="543"/>
      <c r="D1557" s="544"/>
      <c r="E1557" s="544"/>
      <c r="F1557" s="544"/>
      <c r="G1557" s="544"/>
      <c r="H1557" s="544"/>
      <c r="I1557" s="543"/>
      <c r="J1557" s="543"/>
      <c r="K1557" s="544"/>
      <c r="L1557" s="543"/>
      <c r="M1557" s="544"/>
      <c r="N1557" s="543"/>
      <c r="O1557" s="544"/>
      <c r="P1557" s="544"/>
      <c r="Q1557" s="544"/>
      <c r="R1557" s="544"/>
      <c r="S1557" s="544"/>
    </row>
    <row r="1558" ht="14.25" customHeight="1">
      <c r="A1558" s="542"/>
      <c r="B1558" s="543"/>
      <c r="C1558" s="543"/>
      <c r="D1558" s="544"/>
      <c r="E1558" s="544"/>
      <c r="F1558" s="544"/>
      <c r="G1558" s="544"/>
      <c r="H1558" s="544"/>
      <c r="I1558" s="543"/>
      <c r="J1558" s="543"/>
      <c r="K1558" s="544"/>
      <c r="L1558" s="543"/>
      <c r="M1558" s="544"/>
      <c r="N1558" s="543"/>
      <c r="O1558" s="544"/>
      <c r="P1558" s="544"/>
      <c r="Q1558" s="544"/>
      <c r="R1558" s="544"/>
      <c r="S1558" s="544"/>
    </row>
    <row r="1559" ht="14.25" customHeight="1">
      <c r="A1559" s="542"/>
      <c r="B1559" s="543"/>
      <c r="C1559" s="543"/>
      <c r="D1559" s="544"/>
      <c r="E1559" s="544"/>
      <c r="F1559" s="544"/>
      <c r="G1559" s="544"/>
      <c r="H1559" s="544"/>
      <c r="I1559" s="543"/>
      <c r="J1559" s="543"/>
      <c r="K1559" s="544"/>
      <c r="L1559" s="543"/>
      <c r="M1559" s="544"/>
      <c r="N1559" s="543"/>
      <c r="O1559" s="544"/>
      <c r="P1559" s="544"/>
      <c r="Q1559" s="544"/>
      <c r="R1559" s="544"/>
      <c r="S1559" s="544"/>
    </row>
    <row r="1560" ht="14.25" customHeight="1">
      <c r="A1560" s="542"/>
      <c r="B1560" s="543"/>
      <c r="C1560" s="543"/>
      <c r="D1560" s="544"/>
      <c r="E1560" s="544"/>
      <c r="F1560" s="544"/>
      <c r="G1560" s="544"/>
      <c r="H1560" s="544"/>
      <c r="I1560" s="543"/>
      <c r="J1560" s="543"/>
      <c r="K1560" s="544"/>
      <c r="L1560" s="543"/>
      <c r="M1560" s="544"/>
      <c r="N1560" s="543"/>
      <c r="O1560" s="544"/>
      <c r="P1560" s="544"/>
      <c r="Q1560" s="544"/>
      <c r="R1560" s="544"/>
      <c r="S1560" s="544"/>
    </row>
    <row r="1561" ht="14.25" customHeight="1">
      <c r="A1561" s="542"/>
      <c r="B1561" s="543"/>
      <c r="C1561" s="543"/>
      <c r="D1561" s="544"/>
      <c r="E1561" s="544"/>
      <c r="F1561" s="544"/>
      <c r="G1561" s="544"/>
      <c r="H1561" s="544"/>
      <c r="I1561" s="543"/>
      <c r="J1561" s="543"/>
      <c r="K1561" s="544"/>
      <c r="L1561" s="543"/>
      <c r="M1561" s="544"/>
      <c r="N1561" s="543"/>
      <c r="O1561" s="544"/>
      <c r="P1561" s="544"/>
      <c r="Q1561" s="544"/>
      <c r="R1561" s="544"/>
      <c r="S1561" s="544"/>
    </row>
    <row r="1562" ht="14.25" customHeight="1">
      <c r="A1562" s="542"/>
      <c r="B1562" s="543"/>
      <c r="C1562" s="543"/>
      <c r="D1562" s="544"/>
      <c r="E1562" s="544"/>
      <c r="F1562" s="544"/>
      <c r="G1562" s="544"/>
      <c r="H1562" s="544"/>
      <c r="I1562" s="543"/>
      <c r="J1562" s="543"/>
      <c r="K1562" s="544"/>
      <c r="L1562" s="543"/>
      <c r="M1562" s="544"/>
      <c r="N1562" s="543"/>
      <c r="O1562" s="544"/>
      <c r="P1562" s="544"/>
      <c r="Q1562" s="544"/>
      <c r="R1562" s="544"/>
      <c r="S1562" s="544"/>
    </row>
    <row r="1563" ht="14.25" customHeight="1">
      <c r="A1563" s="542"/>
      <c r="B1563" s="543"/>
      <c r="C1563" s="543"/>
      <c r="D1563" s="544"/>
      <c r="E1563" s="544"/>
      <c r="F1563" s="544"/>
      <c r="G1563" s="544"/>
      <c r="H1563" s="544"/>
      <c r="I1563" s="543"/>
      <c r="J1563" s="543"/>
      <c r="K1563" s="544"/>
      <c r="L1563" s="543"/>
      <c r="M1563" s="544"/>
      <c r="N1563" s="543"/>
      <c r="O1563" s="544"/>
      <c r="P1563" s="544"/>
      <c r="Q1563" s="544"/>
      <c r="R1563" s="544"/>
      <c r="S1563" s="544"/>
    </row>
    <row r="1564" ht="14.25" customHeight="1">
      <c r="A1564" s="542"/>
      <c r="B1564" s="543"/>
      <c r="C1564" s="543"/>
      <c r="D1564" s="544"/>
      <c r="E1564" s="544"/>
      <c r="F1564" s="544"/>
      <c r="G1564" s="544"/>
      <c r="H1564" s="544"/>
      <c r="I1564" s="543"/>
      <c r="J1564" s="543"/>
      <c r="K1564" s="544"/>
      <c r="L1564" s="543"/>
      <c r="M1564" s="544"/>
      <c r="N1564" s="543"/>
      <c r="O1564" s="544"/>
      <c r="P1564" s="544"/>
      <c r="Q1564" s="544"/>
      <c r="R1564" s="544"/>
      <c r="S1564" s="544"/>
    </row>
    <row r="1565" ht="14.25" customHeight="1">
      <c r="A1565" s="542"/>
      <c r="B1565" s="543"/>
      <c r="C1565" s="543"/>
      <c r="D1565" s="544"/>
      <c r="E1565" s="544"/>
      <c r="F1565" s="544"/>
      <c r="G1565" s="544"/>
      <c r="H1565" s="544"/>
      <c r="I1565" s="543"/>
      <c r="J1565" s="543"/>
      <c r="K1565" s="544"/>
      <c r="L1565" s="543"/>
      <c r="M1565" s="544"/>
      <c r="N1565" s="543"/>
      <c r="O1565" s="544"/>
      <c r="P1565" s="544"/>
      <c r="Q1565" s="544"/>
      <c r="R1565" s="544"/>
      <c r="S1565" s="544"/>
    </row>
    <row r="1566" ht="14.25" customHeight="1">
      <c r="A1566" s="542"/>
      <c r="B1566" s="543"/>
      <c r="C1566" s="543"/>
      <c r="D1566" s="544"/>
      <c r="E1566" s="544"/>
      <c r="F1566" s="544"/>
      <c r="G1566" s="544"/>
      <c r="H1566" s="544"/>
      <c r="I1566" s="543"/>
      <c r="J1566" s="543"/>
      <c r="K1566" s="544"/>
      <c r="L1566" s="543"/>
      <c r="M1566" s="544"/>
      <c r="N1566" s="543"/>
      <c r="O1566" s="544"/>
      <c r="P1566" s="544"/>
      <c r="Q1566" s="544"/>
      <c r="R1566" s="544"/>
      <c r="S1566" s="544"/>
    </row>
    <row r="1567" ht="14.25" customHeight="1">
      <c r="A1567" s="542"/>
      <c r="B1567" s="543"/>
      <c r="C1567" s="543"/>
      <c r="D1567" s="544"/>
      <c r="E1567" s="544"/>
      <c r="F1567" s="544"/>
      <c r="G1567" s="544"/>
      <c r="H1567" s="544"/>
      <c r="I1567" s="543"/>
      <c r="J1567" s="543"/>
      <c r="K1567" s="544"/>
      <c r="L1567" s="543"/>
      <c r="M1567" s="544"/>
      <c r="N1567" s="543"/>
      <c r="O1567" s="544"/>
      <c r="P1567" s="544"/>
      <c r="Q1567" s="544"/>
      <c r="R1567" s="544"/>
      <c r="S1567" s="544"/>
    </row>
    <row r="1568" ht="14.25" customHeight="1">
      <c r="A1568" s="542"/>
      <c r="B1568" s="543"/>
      <c r="C1568" s="543"/>
      <c r="D1568" s="544"/>
      <c r="E1568" s="544"/>
      <c r="F1568" s="544"/>
      <c r="G1568" s="544"/>
      <c r="H1568" s="544"/>
      <c r="I1568" s="543"/>
      <c r="J1568" s="543"/>
      <c r="K1568" s="544"/>
      <c r="L1568" s="543"/>
      <c r="M1568" s="544"/>
      <c r="N1568" s="543"/>
      <c r="O1568" s="544"/>
      <c r="P1568" s="544"/>
      <c r="Q1568" s="544"/>
      <c r="R1568" s="544"/>
      <c r="S1568" s="544"/>
    </row>
    <row r="1569" ht="14.25" customHeight="1">
      <c r="A1569" s="542"/>
      <c r="B1569" s="543"/>
      <c r="C1569" s="543"/>
      <c r="D1569" s="544"/>
      <c r="E1569" s="544"/>
      <c r="F1569" s="544"/>
      <c r="G1569" s="544"/>
      <c r="H1569" s="544"/>
      <c r="I1569" s="543"/>
      <c r="J1569" s="543"/>
      <c r="K1569" s="544"/>
      <c r="L1569" s="543"/>
      <c r="M1569" s="544"/>
      <c r="N1569" s="543"/>
      <c r="O1569" s="544"/>
      <c r="P1569" s="544"/>
      <c r="Q1569" s="544"/>
      <c r="R1569" s="544"/>
      <c r="S1569" s="544"/>
    </row>
    <row r="1570" ht="14.25" customHeight="1">
      <c r="A1570" s="542"/>
      <c r="B1570" s="543"/>
      <c r="C1570" s="543"/>
      <c r="D1570" s="544"/>
      <c r="E1570" s="544"/>
      <c r="F1570" s="544"/>
      <c r="G1570" s="544"/>
      <c r="H1570" s="544"/>
      <c r="I1570" s="543"/>
      <c r="J1570" s="543"/>
      <c r="K1570" s="544"/>
      <c r="L1570" s="543"/>
      <c r="M1570" s="544"/>
      <c r="N1570" s="543"/>
      <c r="O1570" s="544"/>
      <c r="P1570" s="544"/>
      <c r="Q1570" s="544"/>
      <c r="R1570" s="544"/>
      <c r="S1570" s="544"/>
    </row>
    <row r="1571" ht="14.25" customHeight="1">
      <c r="A1571" s="542"/>
      <c r="B1571" s="543"/>
      <c r="C1571" s="543"/>
      <c r="D1571" s="544"/>
      <c r="E1571" s="544"/>
      <c r="F1571" s="544"/>
      <c r="G1571" s="544"/>
      <c r="H1571" s="544"/>
      <c r="I1571" s="543"/>
      <c r="J1571" s="543"/>
      <c r="K1571" s="544"/>
      <c r="L1571" s="543"/>
      <c r="M1571" s="544"/>
      <c r="N1571" s="543"/>
      <c r="O1571" s="544"/>
      <c r="P1571" s="544"/>
      <c r="Q1571" s="544"/>
      <c r="R1571" s="544"/>
      <c r="S1571" s="544"/>
    </row>
    <row r="1572" ht="14.25" customHeight="1">
      <c r="A1572" s="542"/>
      <c r="B1572" s="543"/>
      <c r="C1572" s="543"/>
      <c r="D1572" s="544"/>
      <c r="E1572" s="544"/>
      <c r="F1572" s="544"/>
      <c r="G1572" s="544"/>
      <c r="H1572" s="544"/>
      <c r="I1572" s="543"/>
      <c r="J1572" s="543"/>
      <c r="K1572" s="544"/>
      <c r="L1572" s="543"/>
      <c r="M1572" s="544"/>
      <c r="N1572" s="543"/>
      <c r="O1572" s="544"/>
      <c r="P1572" s="544"/>
      <c r="Q1572" s="544"/>
      <c r="R1572" s="544"/>
      <c r="S1572" s="544"/>
    </row>
    <row r="1573" ht="14.25" customHeight="1">
      <c r="A1573" s="542"/>
      <c r="B1573" s="543"/>
      <c r="C1573" s="543"/>
      <c r="D1573" s="544"/>
      <c r="E1573" s="544"/>
      <c r="F1573" s="544"/>
      <c r="G1573" s="544"/>
      <c r="H1573" s="544"/>
      <c r="I1573" s="543"/>
      <c r="J1573" s="543"/>
      <c r="K1573" s="544"/>
      <c r="L1573" s="543"/>
      <c r="M1573" s="544"/>
      <c r="N1573" s="543"/>
      <c r="O1573" s="544"/>
      <c r="P1573" s="544"/>
      <c r="Q1573" s="544"/>
      <c r="R1573" s="544"/>
      <c r="S1573" s="544"/>
    </row>
    <row r="1574" ht="14.25" customHeight="1">
      <c r="A1574" s="542"/>
      <c r="B1574" s="543"/>
      <c r="C1574" s="543"/>
      <c r="D1574" s="544"/>
      <c r="E1574" s="544"/>
      <c r="F1574" s="544"/>
      <c r="G1574" s="544"/>
      <c r="H1574" s="544"/>
      <c r="I1574" s="543"/>
      <c r="J1574" s="543"/>
      <c r="K1574" s="544"/>
      <c r="L1574" s="543"/>
      <c r="M1574" s="544"/>
      <c r="N1574" s="543"/>
      <c r="O1574" s="544"/>
      <c r="P1574" s="544"/>
      <c r="Q1574" s="544"/>
      <c r="R1574" s="544"/>
      <c r="S1574" s="544"/>
    </row>
    <row r="1575" ht="14.25" customHeight="1">
      <c r="A1575" s="542"/>
      <c r="B1575" s="543"/>
      <c r="C1575" s="543"/>
      <c r="D1575" s="544"/>
      <c r="E1575" s="544"/>
      <c r="F1575" s="544"/>
      <c r="G1575" s="544"/>
      <c r="H1575" s="544"/>
      <c r="I1575" s="543"/>
      <c r="J1575" s="543"/>
      <c r="K1575" s="544"/>
      <c r="L1575" s="543"/>
      <c r="M1575" s="544"/>
      <c r="N1575" s="543"/>
      <c r="O1575" s="544"/>
      <c r="P1575" s="544"/>
      <c r="Q1575" s="544"/>
      <c r="R1575" s="544"/>
      <c r="S1575" s="544"/>
    </row>
    <row r="1576" ht="14.25" customHeight="1">
      <c r="A1576" s="542"/>
      <c r="B1576" s="543"/>
      <c r="C1576" s="543"/>
      <c r="D1576" s="544"/>
      <c r="E1576" s="544"/>
      <c r="F1576" s="544"/>
      <c r="G1576" s="544"/>
      <c r="H1576" s="544"/>
      <c r="I1576" s="543"/>
      <c r="J1576" s="543"/>
      <c r="K1576" s="544"/>
      <c r="L1576" s="543"/>
      <c r="M1576" s="544"/>
      <c r="N1576" s="543"/>
      <c r="O1576" s="544"/>
      <c r="P1576" s="544"/>
      <c r="Q1576" s="544"/>
      <c r="R1576" s="544"/>
      <c r="S1576" s="544"/>
    </row>
    <row r="1577" ht="14.25" customHeight="1">
      <c r="A1577" s="542"/>
      <c r="B1577" s="543"/>
      <c r="C1577" s="543"/>
      <c r="D1577" s="544"/>
      <c r="E1577" s="544"/>
      <c r="F1577" s="544"/>
      <c r="G1577" s="544"/>
      <c r="H1577" s="544"/>
      <c r="I1577" s="543"/>
      <c r="J1577" s="543"/>
      <c r="K1577" s="544"/>
      <c r="L1577" s="543"/>
      <c r="M1577" s="544"/>
      <c r="N1577" s="543"/>
      <c r="O1577" s="544"/>
      <c r="P1577" s="544"/>
      <c r="Q1577" s="544"/>
      <c r="R1577" s="544"/>
      <c r="S1577" s="544"/>
    </row>
    <row r="1578" ht="14.25" customHeight="1">
      <c r="A1578" s="542"/>
      <c r="B1578" s="543"/>
      <c r="C1578" s="543"/>
      <c r="D1578" s="544"/>
      <c r="E1578" s="544"/>
      <c r="F1578" s="544"/>
      <c r="G1578" s="544"/>
      <c r="H1578" s="544"/>
      <c r="I1578" s="543"/>
      <c r="J1578" s="543"/>
      <c r="K1578" s="544"/>
      <c r="L1578" s="543"/>
      <c r="M1578" s="544"/>
      <c r="N1578" s="543"/>
      <c r="O1578" s="544"/>
      <c r="P1578" s="544"/>
      <c r="Q1578" s="544"/>
      <c r="R1578" s="544"/>
      <c r="S1578" s="544"/>
    </row>
    <row r="1579" ht="14.25" customHeight="1">
      <c r="A1579" s="542"/>
      <c r="B1579" s="543"/>
      <c r="C1579" s="543"/>
      <c r="D1579" s="544"/>
      <c r="E1579" s="544"/>
      <c r="F1579" s="544"/>
      <c r="G1579" s="544"/>
      <c r="H1579" s="544"/>
      <c r="I1579" s="543"/>
      <c r="J1579" s="543"/>
      <c r="K1579" s="544"/>
      <c r="L1579" s="543"/>
      <c r="M1579" s="544"/>
      <c r="N1579" s="543"/>
      <c r="O1579" s="544"/>
      <c r="P1579" s="544"/>
      <c r="Q1579" s="544"/>
      <c r="R1579" s="544"/>
      <c r="S1579" s="544"/>
    </row>
    <row r="1580" ht="14.25" customHeight="1">
      <c r="A1580" s="542"/>
      <c r="B1580" s="543"/>
      <c r="C1580" s="543"/>
      <c r="D1580" s="544"/>
      <c r="E1580" s="544"/>
      <c r="F1580" s="544"/>
      <c r="G1580" s="544"/>
      <c r="H1580" s="544"/>
      <c r="I1580" s="543"/>
      <c r="J1580" s="543"/>
      <c r="K1580" s="544"/>
      <c r="L1580" s="543"/>
      <c r="M1580" s="544"/>
      <c r="N1580" s="543"/>
      <c r="O1580" s="544"/>
      <c r="P1580" s="544"/>
      <c r="Q1580" s="544"/>
      <c r="R1580" s="544"/>
      <c r="S1580" s="544"/>
    </row>
    <row r="1581" ht="14.25" customHeight="1">
      <c r="A1581" s="542"/>
      <c r="B1581" s="543"/>
      <c r="C1581" s="543"/>
      <c r="D1581" s="544"/>
      <c r="E1581" s="544"/>
      <c r="F1581" s="544"/>
      <c r="G1581" s="544"/>
      <c r="H1581" s="544"/>
      <c r="I1581" s="543"/>
      <c r="J1581" s="543"/>
      <c r="K1581" s="544"/>
      <c r="L1581" s="543"/>
      <c r="M1581" s="544"/>
      <c r="N1581" s="543"/>
      <c r="O1581" s="544"/>
      <c r="P1581" s="544"/>
      <c r="Q1581" s="544"/>
      <c r="R1581" s="544"/>
      <c r="S1581" s="544"/>
    </row>
    <row r="1582" ht="14.25" customHeight="1">
      <c r="A1582" s="542"/>
      <c r="B1582" s="543"/>
      <c r="C1582" s="543"/>
      <c r="D1582" s="544"/>
      <c r="E1582" s="544"/>
      <c r="F1582" s="544"/>
      <c r="G1582" s="544"/>
      <c r="H1582" s="544"/>
      <c r="I1582" s="543"/>
      <c r="J1582" s="543"/>
      <c r="K1582" s="544"/>
      <c r="L1582" s="543"/>
      <c r="M1582" s="544"/>
      <c r="N1582" s="543"/>
      <c r="O1582" s="544"/>
      <c r="P1582" s="544"/>
      <c r="Q1582" s="544"/>
      <c r="R1582" s="544"/>
      <c r="S1582" s="544"/>
    </row>
    <row r="1583" ht="14.25" customHeight="1">
      <c r="A1583" s="542"/>
      <c r="B1583" s="543"/>
      <c r="C1583" s="543"/>
      <c r="D1583" s="544"/>
      <c r="E1583" s="544"/>
      <c r="F1583" s="544"/>
      <c r="G1583" s="544"/>
      <c r="H1583" s="544"/>
      <c r="I1583" s="543"/>
      <c r="J1583" s="543"/>
      <c r="K1583" s="544"/>
      <c r="L1583" s="543"/>
      <c r="M1583" s="544"/>
      <c r="N1583" s="543"/>
      <c r="O1583" s="544"/>
      <c r="P1583" s="544"/>
      <c r="Q1583" s="544"/>
      <c r="R1583" s="544"/>
      <c r="S1583" s="544"/>
    </row>
    <row r="1584" ht="14.25" customHeight="1">
      <c r="A1584" s="542"/>
      <c r="B1584" s="543"/>
      <c r="C1584" s="543"/>
      <c r="D1584" s="544"/>
      <c r="E1584" s="544"/>
      <c r="F1584" s="544"/>
      <c r="G1584" s="544"/>
      <c r="H1584" s="544"/>
      <c r="I1584" s="543"/>
      <c r="J1584" s="543"/>
      <c r="K1584" s="544"/>
      <c r="L1584" s="543"/>
      <c r="M1584" s="544"/>
      <c r="N1584" s="543"/>
      <c r="O1584" s="544"/>
      <c r="P1584" s="544"/>
      <c r="Q1584" s="544"/>
      <c r="R1584" s="544"/>
      <c r="S1584" s="544"/>
    </row>
    <row r="1585" ht="14.25" customHeight="1">
      <c r="A1585" s="542"/>
      <c r="B1585" s="543"/>
      <c r="C1585" s="543"/>
      <c r="D1585" s="544"/>
      <c r="E1585" s="544"/>
      <c r="F1585" s="544"/>
      <c r="G1585" s="544"/>
      <c r="H1585" s="544"/>
      <c r="I1585" s="543"/>
      <c r="J1585" s="543"/>
      <c r="K1585" s="544"/>
      <c r="L1585" s="543"/>
      <c r="M1585" s="544"/>
      <c r="N1585" s="543"/>
      <c r="O1585" s="544"/>
      <c r="P1585" s="544"/>
      <c r="Q1585" s="544"/>
      <c r="R1585" s="544"/>
      <c r="S1585" s="544"/>
    </row>
    <row r="1586" ht="14.25" customHeight="1">
      <c r="A1586" s="542"/>
      <c r="B1586" s="543"/>
      <c r="C1586" s="543"/>
      <c r="D1586" s="544"/>
      <c r="E1586" s="544"/>
      <c r="F1586" s="544"/>
      <c r="G1586" s="544"/>
      <c r="H1586" s="544"/>
      <c r="I1586" s="543"/>
      <c r="J1586" s="543"/>
      <c r="K1586" s="544"/>
      <c r="L1586" s="543"/>
      <c r="M1586" s="544"/>
      <c r="N1586" s="543"/>
      <c r="O1586" s="544"/>
      <c r="P1586" s="544"/>
      <c r="Q1586" s="544"/>
      <c r="R1586" s="544"/>
      <c r="S1586" s="544"/>
    </row>
    <row r="1587" ht="14.25" customHeight="1">
      <c r="A1587" s="542"/>
      <c r="B1587" s="543"/>
      <c r="C1587" s="543"/>
      <c r="D1587" s="544"/>
      <c r="E1587" s="544"/>
      <c r="F1587" s="544"/>
      <c r="G1587" s="544"/>
      <c r="H1587" s="544"/>
      <c r="I1587" s="543"/>
      <c r="J1587" s="543"/>
      <c r="K1587" s="544"/>
      <c r="L1587" s="543"/>
      <c r="M1587" s="544"/>
      <c r="N1587" s="543"/>
      <c r="O1587" s="544"/>
      <c r="P1587" s="544"/>
      <c r="Q1587" s="544"/>
      <c r="R1587" s="544"/>
      <c r="S1587" s="544"/>
    </row>
    <row r="1588" ht="14.25" customHeight="1">
      <c r="A1588" s="542"/>
      <c r="B1588" s="543"/>
      <c r="C1588" s="543"/>
      <c r="D1588" s="544"/>
      <c r="E1588" s="544"/>
      <c r="F1588" s="544"/>
      <c r="G1588" s="544"/>
      <c r="H1588" s="544"/>
      <c r="I1588" s="543"/>
      <c r="J1588" s="543"/>
      <c r="K1588" s="544"/>
      <c r="L1588" s="543"/>
      <c r="M1588" s="544"/>
      <c r="N1588" s="543"/>
      <c r="O1588" s="544"/>
      <c r="P1588" s="544"/>
      <c r="Q1588" s="544"/>
      <c r="R1588" s="544"/>
      <c r="S1588" s="544"/>
    </row>
    <row r="1589" ht="14.25" customHeight="1">
      <c r="A1589" s="542"/>
      <c r="B1589" s="543"/>
      <c r="C1589" s="543"/>
      <c r="D1589" s="544"/>
      <c r="E1589" s="544"/>
      <c r="F1589" s="544"/>
      <c r="G1589" s="544"/>
      <c r="H1589" s="544"/>
      <c r="I1589" s="543"/>
      <c r="J1589" s="543"/>
      <c r="K1589" s="544"/>
      <c r="L1589" s="543"/>
      <c r="M1589" s="544"/>
      <c r="N1589" s="543"/>
      <c r="O1589" s="544"/>
      <c r="P1589" s="544"/>
      <c r="Q1589" s="544"/>
      <c r="R1589" s="544"/>
      <c r="S1589" s="544"/>
    </row>
    <row r="1590" ht="14.25" customHeight="1">
      <c r="A1590" s="542"/>
      <c r="B1590" s="543"/>
      <c r="C1590" s="543"/>
      <c r="D1590" s="544"/>
      <c r="E1590" s="544"/>
      <c r="F1590" s="544"/>
      <c r="G1590" s="544"/>
      <c r="H1590" s="544"/>
      <c r="I1590" s="543"/>
      <c r="J1590" s="543"/>
      <c r="K1590" s="544"/>
      <c r="L1590" s="543"/>
      <c r="M1590" s="544"/>
      <c r="N1590" s="543"/>
      <c r="O1590" s="544"/>
      <c r="P1590" s="544"/>
      <c r="Q1590" s="544"/>
      <c r="R1590" s="544"/>
      <c r="S1590" s="544"/>
    </row>
    <row r="1591" ht="14.25" customHeight="1">
      <c r="A1591" s="542"/>
      <c r="B1591" s="543"/>
      <c r="C1591" s="543"/>
      <c r="D1591" s="544"/>
      <c r="E1591" s="544"/>
      <c r="F1591" s="544"/>
      <c r="G1591" s="544"/>
      <c r="H1591" s="544"/>
      <c r="I1591" s="543"/>
      <c r="J1591" s="543"/>
      <c r="K1591" s="544"/>
      <c r="L1591" s="543"/>
      <c r="M1591" s="544"/>
      <c r="N1591" s="543"/>
      <c r="O1591" s="544"/>
      <c r="P1591" s="544"/>
      <c r="Q1591" s="544"/>
      <c r="R1591" s="544"/>
      <c r="S1591" s="544"/>
    </row>
    <row r="1592" ht="14.25" customHeight="1">
      <c r="A1592" s="542"/>
      <c r="B1592" s="543"/>
      <c r="C1592" s="543"/>
      <c r="D1592" s="544"/>
      <c r="E1592" s="544"/>
      <c r="F1592" s="544"/>
      <c r="G1592" s="544"/>
      <c r="H1592" s="544"/>
      <c r="I1592" s="543"/>
      <c r="J1592" s="543"/>
      <c r="K1592" s="544"/>
      <c r="L1592" s="543"/>
      <c r="M1592" s="544"/>
      <c r="N1592" s="543"/>
      <c r="O1592" s="544"/>
      <c r="P1592" s="544"/>
      <c r="Q1592" s="544"/>
      <c r="R1592" s="544"/>
      <c r="S1592" s="544"/>
    </row>
    <row r="1593" ht="14.25" customHeight="1">
      <c r="A1593" s="542"/>
      <c r="B1593" s="543"/>
      <c r="C1593" s="543"/>
      <c r="D1593" s="544"/>
      <c r="E1593" s="544"/>
      <c r="F1593" s="544"/>
      <c r="G1593" s="544"/>
      <c r="H1593" s="544"/>
      <c r="I1593" s="543"/>
      <c r="J1593" s="543"/>
      <c r="K1593" s="544"/>
      <c r="L1593" s="543"/>
      <c r="M1593" s="544"/>
      <c r="N1593" s="543"/>
      <c r="O1593" s="544"/>
      <c r="P1593" s="544"/>
      <c r="Q1593" s="544"/>
      <c r="R1593" s="544"/>
      <c r="S1593" s="544"/>
    </row>
    <row r="1594" ht="14.25" customHeight="1">
      <c r="A1594" s="542"/>
      <c r="B1594" s="543"/>
      <c r="C1594" s="543"/>
      <c r="D1594" s="544"/>
      <c r="E1594" s="544"/>
      <c r="F1594" s="544"/>
      <c r="G1594" s="544"/>
      <c r="H1594" s="544"/>
      <c r="I1594" s="543"/>
      <c r="J1594" s="543"/>
      <c r="K1594" s="544"/>
      <c r="L1594" s="543"/>
      <c r="M1594" s="544"/>
      <c r="N1594" s="543"/>
      <c r="O1594" s="544"/>
      <c r="P1594" s="544"/>
      <c r="Q1594" s="544"/>
      <c r="R1594" s="544"/>
      <c r="S1594" s="544"/>
    </row>
    <row r="1595" ht="14.25" customHeight="1">
      <c r="A1595" s="542"/>
      <c r="B1595" s="543"/>
      <c r="C1595" s="543"/>
      <c r="D1595" s="544"/>
      <c r="E1595" s="544"/>
      <c r="F1595" s="544"/>
      <c r="G1595" s="544"/>
      <c r="H1595" s="544"/>
      <c r="I1595" s="543"/>
      <c r="J1595" s="543"/>
      <c r="K1595" s="544"/>
      <c r="L1595" s="543"/>
      <c r="M1595" s="544"/>
      <c r="N1595" s="543"/>
      <c r="O1595" s="544"/>
      <c r="P1595" s="544"/>
      <c r="Q1595" s="544"/>
      <c r="R1595" s="544"/>
      <c r="S1595" s="544"/>
    </row>
    <row r="1596" ht="14.25" customHeight="1">
      <c r="A1596" s="542"/>
      <c r="B1596" s="543"/>
      <c r="C1596" s="543"/>
      <c r="D1596" s="544"/>
      <c r="E1596" s="544"/>
      <c r="F1596" s="544"/>
      <c r="G1596" s="544"/>
      <c r="H1596" s="544"/>
      <c r="I1596" s="543"/>
      <c r="J1596" s="543"/>
      <c r="K1596" s="544"/>
      <c r="L1596" s="543"/>
      <c r="M1596" s="544"/>
      <c r="N1596" s="543"/>
      <c r="O1596" s="544"/>
      <c r="P1596" s="544"/>
      <c r="Q1596" s="544"/>
      <c r="R1596" s="544"/>
      <c r="S1596" s="544"/>
    </row>
    <row r="1597" ht="14.25" customHeight="1">
      <c r="A1597" s="542"/>
      <c r="B1597" s="543"/>
      <c r="C1597" s="543"/>
      <c r="D1597" s="544"/>
      <c r="E1597" s="544"/>
      <c r="F1597" s="544"/>
      <c r="G1597" s="544"/>
      <c r="H1597" s="544"/>
      <c r="I1597" s="543"/>
      <c r="J1597" s="543"/>
      <c r="K1597" s="544"/>
      <c r="L1597" s="543"/>
      <c r="M1597" s="544"/>
      <c r="N1597" s="543"/>
      <c r="O1597" s="544"/>
      <c r="P1597" s="544"/>
      <c r="Q1597" s="544"/>
      <c r="R1597" s="544"/>
      <c r="S1597" s="544"/>
    </row>
    <row r="1598" ht="14.25" customHeight="1">
      <c r="A1598" s="542"/>
      <c r="B1598" s="543"/>
      <c r="C1598" s="543"/>
      <c r="D1598" s="544"/>
      <c r="E1598" s="544"/>
      <c r="F1598" s="544"/>
      <c r="G1598" s="544"/>
      <c r="H1598" s="544"/>
      <c r="I1598" s="543"/>
      <c r="J1598" s="543"/>
      <c r="K1598" s="544"/>
      <c r="L1598" s="543"/>
      <c r="M1598" s="544"/>
      <c r="N1598" s="543"/>
      <c r="O1598" s="544"/>
      <c r="P1598" s="544"/>
      <c r="Q1598" s="544"/>
      <c r="R1598" s="544"/>
      <c r="S1598" s="544"/>
    </row>
    <row r="1599" ht="14.25" customHeight="1">
      <c r="A1599" s="542"/>
      <c r="B1599" s="543"/>
      <c r="C1599" s="543"/>
      <c r="D1599" s="544"/>
      <c r="E1599" s="544"/>
      <c r="F1599" s="544"/>
      <c r="G1599" s="544"/>
      <c r="H1599" s="544"/>
      <c r="I1599" s="543"/>
      <c r="J1599" s="543"/>
      <c r="K1599" s="544"/>
      <c r="L1599" s="543"/>
      <c r="M1599" s="544"/>
      <c r="N1599" s="543"/>
      <c r="O1599" s="544"/>
      <c r="P1599" s="544"/>
      <c r="Q1599" s="544"/>
      <c r="R1599" s="544"/>
      <c r="S1599" s="544"/>
    </row>
    <row r="1600" ht="14.25" customHeight="1">
      <c r="A1600" s="542"/>
      <c r="B1600" s="543"/>
      <c r="C1600" s="543"/>
      <c r="D1600" s="544"/>
      <c r="E1600" s="544"/>
      <c r="F1600" s="544"/>
      <c r="G1600" s="544"/>
      <c r="H1600" s="544"/>
      <c r="I1600" s="543"/>
      <c r="J1600" s="543"/>
      <c r="K1600" s="544"/>
      <c r="L1600" s="543"/>
      <c r="M1600" s="544"/>
      <c r="N1600" s="543"/>
      <c r="O1600" s="544"/>
      <c r="P1600" s="544"/>
      <c r="Q1600" s="544"/>
      <c r="R1600" s="544"/>
      <c r="S1600" s="544"/>
    </row>
    <row r="1601" ht="14.25" customHeight="1">
      <c r="A1601" s="542"/>
      <c r="B1601" s="543"/>
      <c r="C1601" s="543"/>
      <c r="D1601" s="544"/>
      <c r="E1601" s="544"/>
      <c r="F1601" s="544"/>
      <c r="G1601" s="544"/>
      <c r="H1601" s="544"/>
      <c r="I1601" s="543"/>
      <c r="J1601" s="543"/>
      <c r="K1601" s="544"/>
      <c r="L1601" s="543"/>
      <c r="M1601" s="544"/>
      <c r="N1601" s="543"/>
      <c r="O1601" s="544"/>
      <c r="P1601" s="544"/>
      <c r="Q1601" s="544"/>
      <c r="R1601" s="544"/>
      <c r="S1601" s="544"/>
    </row>
    <row r="1602" ht="14.25" customHeight="1">
      <c r="A1602" s="542"/>
      <c r="B1602" s="543"/>
      <c r="C1602" s="543"/>
      <c r="D1602" s="544"/>
      <c r="E1602" s="544"/>
      <c r="F1602" s="544"/>
      <c r="G1602" s="544"/>
      <c r="H1602" s="544"/>
      <c r="I1602" s="543"/>
      <c r="J1602" s="543"/>
      <c r="K1602" s="544"/>
      <c r="L1602" s="543"/>
      <c r="M1602" s="544"/>
      <c r="N1602" s="543"/>
      <c r="O1602" s="544"/>
      <c r="P1602" s="544"/>
      <c r="Q1602" s="544"/>
      <c r="R1602" s="544"/>
      <c r="S1602" s="544"/>
    </row>
    <row r="1603" ht="14.25" customHeight="1">
      <c r="A1603" s="542"/>
      <c r="B1603" s="543"/>
      <c r="C1603" s="543"/>
      <c r="D1603" s="544"/>
      <c r="E1603" s="544"/>
      <c r="F1603" s="544"/>
      <c r="G1603" s="544"/>
      <c r="H1603" s="544"/>
      <c r="I1603" s="543"/>
      <c r="J1603" s="543"/>
      <c r="K1603" s="544"/>
      <c r="L1603" s="543"/>
      <c r="M1603" s="544"/>
      <c r="N1603" s="543"/>
      <c r="O1603" s="544"/>
      <c r="P1603" s="544"/>
      <c r="Q1603" s="544"/>
      <c r="R1603" s="544"/>
      <c r="S1603" s="544"/>
    </row>
    <row r="1604" ht="14.25" customHeight="1">
      <c r="A1604" s="542"/>
      <c r="B1604" s="543"/>
      <c r="C1604" s="543"/>
      <c r="D1604" s="544"/>
      <c r="E1604" s="544"/>
      <c r="F1604" s="544"/>
      <c r="G1604" s="544"/>
      <c r="H1604" s="544"/>
      <c r="I1604" s="543"/>
      <c r="J1604" s="543"/>
      <c r="K1604" s="544"/>
      <c r="L1604" s="543"/>
      <c r="M1604" s="544"/>
      <c r="N1604" s="543"/>
      <c r="O1604" s="544"/>
      <c r="P1604" s="544"/>
      <c r="Q1604" s="544"/>
      <c r="R1604" s="544"/>
      <c r="S1604" s="544"/>
    </row>
    <row r="1605" ht="14.25" customHeight="1">
      <c r="A1605" s="542"/>
      <c r="B1605" s="543"/>
      <c r="C1605" s="543"/>
      <c r="D1605" s="544"/>
      <c r="E1605" s="544"/>
      <c r="F1605" s="544"/>
      <c r="G1605" s="544"/>
      <c r="H1605" s="544"/>
      <c r="I1605" s="543"/>
      <c r="J1605" s="543"/>
      <c r="K1605" s="544"/>
      <c r="L1605" s="543"/>
      <c r="M1605" s="544"/>
      <c r="N1605" s="543"/>
      <c r="O1605" s="544"/>
      <c r="P1605" s="544"/>
      <c r="Q1605" s="544"/>
      <c r="R1605" s="544"/>
      <c r="S1605" s="544"/>
    </row>
    <row r="1606" ht="14.25" customHeight="1">
      <c r="A1606" s="542"/>
      <c r="B1606" s="543"/>
      <c r="C1606" s="543"/>
      <c r="D1606" s="544"/>
      <c r="E1606" s="544"/>
      <c r="F1606" s="544"/>
      <c r="G1606" s="544"/>
      <c r="H1606" s="544"/>
      <c r="I1606" s="543"/>
      <c r="J1606" s="543"/>
      <c r="K1606" s="544"/>
      <c r="L1606" s="543"/>
      <c r="M1606" s="544"/>
      <c r="N1606" s="543"/>
      <c r="O1606" s="544"/>
      <c r="P1606" s="544"/>
      <c r="Q1606" s="544"/>
      <c r="R1606" s="544"/>
      <c r="S1606" s="544"/>
    </row>
    <row r="1607" ht="14.25" customHeight="1">
      <c r="A1607" s="542"/>
      <c r="B1607" s="543"/>
      <c r="C1607" s="543"/>
      <c r="D1607" s="544"/>
      <c r="E1607" s="544"/>
      <c r="F1607" s="544"/>
      <c r="G1607" s="544"/>
      <c r="H1607" s="544"/>
      <c r="I1607" s="543"/>
      <c r="J1607" s="543"/>
      <c r="K1607" s="544"/>
      <c r="L1607" s="543"/>
      <c r="M1607" s="544"/>
      <c r="N1607" s="543"/>
      <c r="O1607" s="544"/>
      <c r="P1607" s="544"/>
      <c r="Q1607" s="544"/>
      <c r="R1607" s="544"/>
      <c r="S1607" s="544"/>
    </row>
    <row r="1608" ht="14.25" customHeight="1">
      <c r="A1608" s="542"/>
      <c r="B1608" s="543"/>
      <c r="C1608" s="543"/>
      <c r="D1608" s="544"/>
      <c r="E1608" s="544"/>
      <c r="F1608" s="544"/>
      <c r="G1608" s="544"/>
      <c r="H1608" s="544"/>
      <c r="I1608" s="543"/>
      <c r="J1608" s="543"/>
      <c r="K1608" s="544"/>
      <c r="L1608" s="543"/>
      <c r="M1608" s="544"/>
      <c r="N1608" s="543"/>
      <c r="O1608" s="544"/>
      <c r="P1608" s="544"/>
      <c r="Q1608" s="544"/>
      <c r="R1608" s="544"/>
      <c r="S1608" s="544"/>
    </row>
    <row r="1609" ht="14.25" customHeight="1">
      <c r="A1609" s="542"/>
      <c r="B1609" s="543"/>
      <c r="C1609" s="543"/>
      <c r="D1609" s="544"/>
      <c r="E1609" s="544"/>
      <c r="F1609" s="544"/>
      <c r="G1609" s="544"/>
      <c r="H1609" s="544"/>
      <c r="I1609" s="543"/>
      <c r="J1609" s="543"/>
      <c r="K1609" s="544"/>
      <c r="L1609" s="543"/>
      <c r="M1609" s="544"/>
      <c r="N1609" s="543"/>
      <c r="O1609" s="544"/>
      <c r="P1609" s="544"/>
      <c r="Q1609" s="544"/>
      <c r="R1609" s="544"/>
      <c r="S1609" s="544"/>
    </row>
    <row r="1610" ht="14.25" customHeight="1">
      <c r="A1610" s="542"/>
      <c r="B1610" s="543"/>
      <c r="C1610" s="543"/>
      <c r="D1610" s="544"/>
      <c r="E1610" s="544"/>
      <c r="F1610" s="544"/>
      <c r="G1610" s="544"/>
      <c r="H1610" s="544"/>
      <c r="I1610" s="543"/>
      <c r="J1610" s="543"/>
      <c r="K1610" s="544"/>
      <c r="L1610" s="543"/>
      <c r="M1610" s="544"/>
      <c r="N1610" s="543"/>
      <c r="O1610" s="544"/>
      <c r="P1610" s="544"/>
      <c r="Q1610" s="544"/>
      <c r="R1610" s="544"/>
      <c r="S1610" s="544"/>
    </row>
    <row r="1611" ht="14.25" customHeight="1">
      <c r="A1611" s="542"/>
      <c r="B1611" s="543"/>
      <c r="C1611" s="543"/>
      <c r="D1611" s="544"/>
      <c r="E1611" s="544"/>
      <c r="F1611" s="544"/>
      <c r="G1611" s="544"/>
      <c r="H1611" s="544"/>
      <c r="I1611" s="543"/>
      <c r="J1611" s="543"/>
      <c r="K1611" s="544"/>
      <c r="L1611" s="543"/>
      <c r="M1611" s="544"/>
      <c r="N1611" s="543"/>
      <c r="O1611" s="544"/>
      <c r="P1611" s="544"/>
      <c r="Q1611" s="544"/>
      <c r="R1611" s="544"/>
      <c r="S1611" s="544"/>
    </row>
    <row r="1612" ht="14.25" customHeight="1">
      <c r="A1612" s="542"/>
      <c r="B1612" s="543"/>
      <c r="C1612" s="543"/>
      <c r="D1612" s="544"/>
      <c r="E1612" s="544"/>
      <c r="F1612" s="544"/>
      <c r="G1612" s="544"/>
      <c r="H1612" s="544"/>
      <c r="I1612" s="543"/>
      <c r="J1612" s="543"/>
      <c r="K1612" s="544"/>
      <c r="L1612" s="543"/>
      <c r="M1612" s="544"/>
      <c r="N1612" s="543"/>
      <c r="O1612" s="544"/>
      <c r="P1612" s="544"/>
      <c r="Q1612" s="544"/>
      <c r="R1612" s="544"/>
      <c r="S1612" s="544"/>
    </row>
    <row r="1613" ht="14.25" customHeight="1">
      <c r="A1613" s="542"/>
      <c r="B1613" s="543"/>
      <c r="C1613" s="543"/>
      <c r="D1613" s="544"/>
      <c r="E1613" s="544"/>
      <c r="F1613" s="544"/>
      <c r="G1613" s="544"/>
      <c r="H1613" s="544"/>
      <c r="I1613" s="543"/>
      <c r="J1613" s="543"/>
      <c r="K1613" s="544"/>
      <c r="L1613" s="543"/>
      <c r="M1613" s="544"/>
      <c r="N1613" s="543"/>
      <c r="O1613" s="544"/>
      <c r="P1613" s="544"/>
      <c r="Q1613" s="544"/>
      <c r="R1613" s="544"/>
      <c r="S1613" s="544"/>
    </row>
    <row r="1614" ht="14.25" customHeight="1">
      <c r="A1614" s="542"/>
      <c r="B1614" s="543"/>
      <c r="C1614" s="543"/>
      <c r="D1614" s="544"/>
      <c r="E1614" s="544"/>
      <c r="F1614" s="544"/>
      <c r="G1614" s="544"/>
      <c r="H1614" s="544"/>
      <c r="I1614" s="543"/>
      <c r="J1614" s="543"/>
      <c r="K1614" s="544"/>
      <c r="L1614" s="543"/>
      <c r="M1614" s="544"/>
      <c r="N1614" s="543"/>
      <c r="O1614" s="544"/>
      <c r="P1614" s="544"/>
      <c r="Q1614" s="544"/>
      <c r="R1614" s="544"/>
      <c r="S1614" s="544"/>
    </row>
    <row r="1615" ht="14.25" customHeight="1">
      <c r="A1615" s="542"/>
      <c r="B1615" s="543"/>
      <c r="C1615" s="543"/>
      <c r="D1615" s="544"/>
      <c r="E1615" s="544"/>
      <c r="F1615" s="544"/>
      <c r="G1615" s="544"/>
      <c r="H1615" s="544"/>
      <c r="I1615" s="543"/>
      <c r="J1615" s="543"/>
      <c r="K1615" s="544"/>
      <c r="L1615" s="543"/>
      <c r="M1615" s="544"/>
      <c r="N1615" s="543"/>
      <c r="O1615" s="544"/>
      <c r="P1615" s="544"/>
      <c r="Q1615" s="544"/>
      <c r="R1615" s="544"/>
      <c r="S1615" s="544"/>
    </row>
    <row r="1616" ht="14.25" customHeight="1">
      <c r="A1616" s="542"/>
      <c r="B1616" s="543"/>
      <c r="C1616" s="543"/>
      <c r="D1616" s="544"/>
      <c r="E1616" s="544"/>
      <c r="F1616" s="544"/>
      <c r="G1616" s="544"/>
      <c r="H1616" s="544"/>
      <c r="I1616" s="543"/>
      <c r="J1616" s="543"/>
      <c r="K1616" s="544"/>
      <c r="L1616" s="543"/>
      <c r="M1616" s="544"/>
      <c r="N1616" s="543"/>
      <c r="O1616" s="544"/>
      <c r="P1616" s="544"/>
      <c r="Q1616" s="544"/>
      <c r="R1616" s="544"/>
      <c r="S1616" s="544"/>
    </row>
    <row r="1617" ht="14.25" customHeight="1">
      <c r="A1617" s="542"/>
      <c r="B1617" s="543"/>
      <c r="C1617" s="543"/>
      <c r="D1617" s="544"/>
      <c r="E1617" s="544"/>
      <c r="F1617" s="544"/>
      <c r="G1617" s="544"/>
      <c r="H1617" s="544"/>
      <c r="I1617" s="543"/>
      <c r="J1617" s="543"/>
      <c r="K1617" s="544"/>
      <c r="L1617" s="543"/>
      <c r="M1617" s="544"/>
      <c r="N1617" s="543"/>
      <c r="O1617" s="544"/>
      <c r="P1617" s="544"/>
      <c r="Q1617" s="544"/>
      <c r="R1617" s="544"/>
      <c r="S1617" s="544"/>
    </row>
    <row r="1618" ht="14.25" customHeight="1">
      <c r="A1618" s="542"/>
      <c r="B1618" s="543"/>
      <c r="C1618" s="543"/>
      <c r="D1618" s="544"/>
      <c r="E1618" s="544"/>
      <c r="F1618" s="544"/>
      <c r="G1618" s="544"/>
      <c r="H1618" s="544"/>
      <c r="I1618" s="543"/>
      <c r="J1618" s="543"/>
      <c r="K1618" s="544"/>
      <c r="L1618" s="543"/>
      <c r="M1618" s="544"/>
      <c r="N1618" s="543"/>
      <c r="O1618" s="544"/>
      <c r="P1618" s="544"/>
      <c r="Q1618" s="544"/>
      <c r="R1618" s="544"/>
      <c r="S1618" s="544"/>
    </row>
    <row r="1619" ht="14.25" customHeight="1">
      <c r="A1619" s="542"/>
      <c r="B1619" s="543"/>
      <c r="C1619" s="543"/>
      <c r="D1619" s="544"/>
      <c r="E1619" s="544"/>
      <c r="F1619" s="544"/>
      <c r="G1619" s="544"/>
      <c r="H1619" s="544"/>
      <c r="I1619" s="543"/>
      <c r="J1619" s="543"/>
      <c r="K1619" s="544"/>
      <c r="L1619" s="543"/>
      <c r="M1619" s="544"/>
      <c r="N1619" s="543"/>
      <c r="O1619" s="544"/>
      <c r="P1619" s="544"/>
      <c r="Q1619" s="544"/>
      <c r="R1619" s="544"/>
      <c r="S1619" s="544"/>
    </row>
    <row r="1620" ht="14.25" customHeight="1">
      <c r="A1620" s="542"/>
      <c r="B1620" s="543"/>
      <c r="C1620" s="543"/>
      <c r="D1620" s="544"/>
      <c r="E1620" s="544"/>
      <c r="F1620" s="544"/>
      <c r="G1620" s="544"/>
      <c r="H1620" s="544"/>
      <c r="I1620" s="543"/>
      <c r="J1620" s="543"/>
      <c r="K1620" s="544"/>
      <c r="L1620" s="543"/>
      <c r="M1620" s="544"/>
      <c r="N1620" s="543"/>
      <c r="O1620" s="544"/>
      <c r="P1620" s="544"/>
      <c r="Q1620" s="544"/>
      <c r="R1620" s="544"/>
      <c r="S1620" s="544"/>
    </row>
    <row r="1621" ht="14.25" customHeight="1">
      <c r="A1621" s="542"/>
      <c r="B1621" s="543"/>
      <c r="C1621" s="543"/>
      <c r="D1621" s="544"/>
      <c r="E1621" s="544"/>
      <c r="F1621" s="544"/>
      <c r="G1621" s="544"/>
      <c r="H1621" s="544"/>
      <c r="I1621" s="543"/>
      <c r="J1621" s="543"/>
      <c r="K1621" s="544"/>
      <c r="L1621" s="543"/>
      <c r="M1621" s="544"/>
      <c r="N1621" s="543"/>
      <c r="O1621" s="544"/>
      <c r="P1621" s="544"/>
      <c r="Q1621" s="544"/>
      <c r="R1621" s="544"/>
      <c r="S1621" s="544"/>
    </row>
    <row r="1622" ht="14.25" customHeight="1">
      <c r="A1622" s="542"/>
      <c r="B1622" s="543"/>
      <c r="C1622" s="543"/>
      <c r="D1622" s="544"/>
      <c r="E1622" s="544"/>
      <c r="F1622" s="544"/>
      <c r="G1622" s="544"/>
      <c r="H1622" s="544"/>
      <c r="I1622" s="543"/>
      <c r="J1622" s="543"/>
      <c r="K1622" s="544"/>
      <c r="L1622" s="543"/>
      <c r="M1622" s="544"/>
      <c r="N1622" s="543"/>
      <c r="O1622" s="544"/>
      <c r="P1622" s="544"/>
      <c r="Q1622" s="544"/>
      <c r="R1622" s="544"/>
      <c r="S1622" s="544"/>
    </row>
    <row r="1623" ht="14.25" customHeight="1">
      <c r="A1623" s="542"/>
      <c r="B1623" s="543"/>
      <c r="C1623" s="543"/>
      <c r="D1623" s="544"/>
      <c r="E1623" s="544"/>
      <c r="F1623" s="544"/>
      <c r="G1623" s="544"/>
      <c r="H1623" s="544"/>
      <c r="I1623" s="543"/>
      <c r="J1623" s="543"/>
      <c r="K1623" s="544"/>
      <c r="L1623" s="543"/>
      <c r="M1623" s="544"/>
      <c r="N1623" s="543"/>
      <c r="O1623" s="544"/>
      <c r="P1623" s="544"/>
      <c r="Q1623" s="544"/>
      <c r="R1623" s="544"/>
      <c r="S1623" s="544"/>
    </row>
    <row r="1624" ht="14.25" customHeight="1">
      <c r="A1624" s="542"/>
      <c r="B1624" s="543"/>
      <c r="C1624" s="543"/>
      <c r="D1624" s="544"/>
      <c r="E1624" s="544"/>
      <c r="F1624" s="544"/>
      <c r="G1624" s="544"/>
      <c r="H1624" s="544"/>
      <c r="I1624" s="543"/>
      <c r="J1624" s="543"/>
      <c r="K1624" s="544"/>
      <c r="L1624" s="543"/>
      <c r="M1624" s="544"/>
      <c r="N1624" s="543"/>
      <c r="O1624" s="544"/>
      <c r="P1624" s="544"/>
      <c r="Q1624" s="544"/>
      <c r="R1624" s="544"/>
      <c r="S1624" s="544"/>
    </row>
    <row r="1625" ht="14.25" customHeight="1">
      <c r="A1625" s="542"/>
      <c r="B1625" s="543"/>
      <c r="C1625" s="543"/>
      <c r="D1625" s="544"/>
      <c r="E1625" s="544"/>
      <c r="F1625" s="544"/>
      <c r="G1625" s="544"/>
      <c r="H1625" s="544"/>
      <c r="I1625" s="543"/>
      <c r="J1625" s="543"/>
      <c r="K1625" s="544"/>
      <c r="L1625" s="543"/>
      <c r="M1625" s="544"/>
      <c r="N1625" s="543"/>
      <c r="O1625" s="544"/>
      <c r="P1625" s="544"/>
      <c r="Q1625" s="544"/>
      <c r="R1625" s="544"/>
      <c r="S1625" s="544"/>
    </row>
    <row r="1626" ht="14.25" customHeight="1">
      <c r="A1626" s="542"/>
      <c r="B1626" s="543"/>
      <c r="C1626" s="543"/>
      <c r="D1626" s="544"/>
      <c r="E1626" s="544"/>
      <c r="F1626" s="544"/>
      <c r="G1626" s="544"/>
      <c r="H1626" s="544"/>
      <c r="I1626" s="543"/>
      <c r="J1626" s="543"/>
      <c r="K1626" s="544"/>
      <c r="L1626" s="543"/>
      <c r="M1626" s="544"/>
      <c r="N1626" s="543"/>
      <c r="O1626" s="544"/>
      <c r="P1626" s="544"/>
      <c r="Q1626" s="544"/>
      <c r="R1626" s="544"/>
      <c r="S1626" s="544"/>
    </row>
    <row r="1627" ht="14.25" customHeight="1">
      <c r="A1627" s="542"/>
      <c r="B1627" s="543"/>
      <c r="C1627" s="543"/>
      <c r="D1627" s="544"/>
      <c r="E1627" s="544"/>
      <c r="F1627" s="544"/>
      <c r="G1627" s="544"/>
      <c r="H1627" s="544"/>
      <c r="I1627" s="543"/>
      <c r="J1627" s="543"/>
      <c r="K1627" s="544"/>
      <c r="L1627" s="543"/>
      <c r="M1627" s="544"/>
      <c r="N1627" s="543"/>
      <c r="O1627" s="544"/>
      <c r="P1627" s="544"/>
      <c r="Q1627" s="544"/>
      <c r="R1627" s="544"/>
      <c r="S1627" s="544"/>
    </row>
    <row r="1628" ht="14.25" customHeight="1">
      <c r="A1628" s="542"/>
      <c r="B1628" s="543"/>
      <c r="C1628" s="543"/>
      <c r="D1628" s="544"/>
      <c r="E1628" s="544"/>
      <c r="F1628" s="544"/>
      <c r="G1628" s="544"/>
      <c r="H1628" s="544"/>
      <c r="I1628" s="543"/>
      <c r="J1628" s="543"/>
      <c r="K1628" s="544"/>
      <c r="L1628" s="543"/>
      <c r="M1628" s="544"/>
      <c r="N1628" s="543"/>
      <c r="O1628" s="544"/>
      <c r="P1628" s="544"/>
      <c r="Q1628" s="544"/>
      <c r="R1628" s="544"/>
      <c r="S1628" s="544"/>
    </row>
    <row r="1629" ht="14.25" customHeight="1">
      <c r="A1629" s="542"/>
      <c r="B1629" s="543"/>
      <c r="C1629" s="543"/>
      <c r="D1629" s="544"/>
      <c r="E1629" s="544"/>
      <c r="F1629" s="544"/>
      <c r="G1629" s="544"/>
      <c r="H1629" s="544"/>
      <c r="I1629" s="543"/>
      <c r="J1629" s="543"/>
      <c r="K1629" s="544"/>
      <c r="L1629" s="543"/>
      <c r="M1629" s="544"/>
      <c r="N1629" s="543"/>
      <c r="O1629" s="544"/>
      <c r="P1629" s="544"/>
      <c r="Q1629" s="544"/>
      <c r="R1629" s="544"/>
      <c r="S1629" s="544"/>
    </row>
    <row r="1630" ht="14.25" customHeight="1">
      <c r="A1630" s="542"/>
      <c r="B1630" s="543"/>
      <c r="C1630" s="543"/>
      <c r="D1630" s="544"/>
      <c r="E1630" s="544"/>
      <c r="F1630" s="544"/>
      <c r="G1630" s="544"/>
      <c r="H1630" s="544"/>
      <c r="I1630" s="543"/>
      <c r="J1630" s="543"/>
      <c r="K1630" s="544"/>
      <c r="L1630" s="543"/>
      <c r="M1630" s="544"/>
      <c r="N1630" s="543"/>
      <c r="O1630" s="544"/>
      <c r="P1630" s="544"/>
      <c r="Q1630" s="544"/>
      <c r="R1630" s="544"/>
      <c r="S1630" s="544"/>
    </row>
    <row r="1631" ht="14.25" customHeight="1">
      <c r="A1631" s="542"/>
      <c r="B1631" s="543"/>
      <c r="C1631" s="543"/>
      <c r="D1631" s="544"/>
      <c r="E1631" s="544"/>
      <c r="F1631" s="544"/>
      <c r="G1631" s="544"/>
      <c r="H1631" s="544"/>
      <c r="I1631" s="543"/>
      <c r="J1631" s="543"/>
      <c r="K1631" s="544"/>
      <c r="L1631" s="543"/>
      <c r="M1631" s="544"/>
      <c r="N1631" s="543"/>
      <c r="O1631" s="544"/>
      <c r="P1631" s="544"/>
      <c r="Q1631" s="544"/>
      <c r="R1631" s="544"/>
      <c r="S1631" s="544"/>
    </row>
    <row r="1632" ht="14.25" customHeight="1">
      <c r="A1632" s="542"/>
      <c r="B1632" s="543"/>
      <c r="C1632" s="543"/>
      <c r="D1632" s="544"/>
      <c r="E1632" s="544"/>
      <c r="F1632" s="544"/>
      <c r="G1632" s="544"/>
      <c r="H1632" s="544"/>
      <c r="I1632" s="543"/>
      <c r="J1632" s="543"/>
      <c r="K1632" s="544"/>
      <c r="L1632" s="543"/>
      <c r="M1632" s="544"/>
      <c r="N1632" s="543"/>
      <c r="O1632" s="544"/>
      <c r="P1632" s="544"/>
      <c r="Q1632" s="544"/>
      <c r="R1632" s="544"/>
      <c r="S1632" s="544"/>
    </row>
    <row r="1633" ht="14.25" customHeight="1">
      <c r="A1633" s="542"/>
      <c r="B1633" s="543"/>
      <c r="C1633" s="543"/>
      <c r="D1633" s="544"/>
      <c r="E1633" s="544"/>
      <c r="F1633" s="544"/>
      <c r="G1633" s="544"/>
      <c r="H1633" s="544"/>
      <c r="I1633" s="543"/>
      <c r="J1633" s="543"/>
      <c r="K1633" s="544"/>
      <c r="L1633" s="543"/>
      <c r="M1633" s="544"/>
      <c r="N1633" s="543"/>
      <c r="O1633" s="544"/>
      <c r="P1633" s="544"/>
      <c r="Q1633" s="544"/>
      <c r="R1633" s="544"/>
      <c r="S1633" s="544"/>
    </row>
    <row r="1634" ht="14.25" customHeight="1">
      <c r="A1634" s="542"/>
      <c r="B1634" s="543"/>
      <c r="C1634" s="543"/>
      <c r="D1634" s="544"/>
      <c r="E1634" s="544"/>
      <c r="F1634" s="544"/>
      <c r="G1634" s="544"/>
      <c r="H1634" s="544"/>
      <c r="I1634" s="543"/>
      <c r="J1634" s="543"/>
      <c r="K1634" s="544"/>
      <c r="L1634" s="543"/>
      <c r="M1634" s="544"/>
      <c r="N1634" s="543"/>
      <c r="O1634" s="544"/>
      <c r="P1634" s="544"/>
      <c r="Q1634" s="544"/>
      <c r="R1634" s="544"/>
      <c r="S1634" s="544"/>
    </row>
    <row r="1635" ht="14.25" customHeight="1">
      <c r="A1635" s="542"/>
      <c r="B1635" s="543"/>
      <c r="C1635" s="543"/>
      <c r="D1635" s="544"/>
      <c r="E1635" s="544"/>
      <c r="F1635" s="544"/>
      <c r="G1635" s="544"/>
      <c r="H1635" s="544"/>
      <c r="I1635" s="543"/>
      <c r="J1635" s="543"/>
      <c r="K1635" s="544"/>
      <c r="L1635" s="543"/>
      <c r="M1635" s="544"/>
      <c r="N1635" s="543"/>
      <c r="O1635" s="544"/>
      <c r="P1635" s="544"/>
      <c r="Q1635" s="544"/>
      <c r="R1635" s="544"/>
      <c r="S1635" s="544"/>
    </row>
    <row r="1636" ht="14.25" customHeight="1">
      <c r="A1636" s="542"/>
      <c r="B1636" s="543"/>
      <c r="C1636" s="543"/>
      <c r="D1636" s="544"/>
      <c r="E1636" s="544"/>
      <c r="F1636" s="544"/>
      <c r="G1636" s="544"/>
      <c r="H1636" s="544"/>
      <c r="I1636" s="543"/>
      <c r="J1636" s="543"/>
      <c r="K1636" s="544"/>
      <c r="L1636" s="543"/>
      <c r="M1636" s="544"/>
      <c r="N1636" s="543"/>
      <c r="O1636" s="544"/>
      <c r="P1636" s="544"/>
      <c r="Q1636" s="544"/>
      <c r="R1636" s="544"/>
      <c r="S1636" s="544"/>
    </row>
    <row r="1637" ht="14.25" customHeight="1">
      <c r="A1637" s="542"/>
      <c r="B1637" s="543"/>
      <c r="C1637" s="543"/>
      <c r="D1637" s="544"/>
      <c r="E1637" s="544"/>
      <c r="F1637" s="544"/>
      <c r="G1637" s="544"/>
      <c r="H1637" s="544"/>
      <c r="I1637" s="543"/>
      <c r="J1637" s="543"/>
      <c r="K1637" s="544"/>
      <c r="L1637" s="543"/>
      <c r="M1637" s="544"/>
      <c r="N1637" s="543"/>
      <c r="O1637" s="544"/>
      <c r="P1637" s="544"/>
      <c r="Q1637" s="544"/>
      <c r="R1637" s="544"/>
      <c r="S1637" s="544"/>
    </row>
    <row r="1638" ht="14.25" customHeight="1">
      <c r="A1638" s="542"/>
      <c r="B1638" s="543"/>
      <c r="C1638" s="543"/>
      <c r="D1638" s="544"/>
      <c r="E1638" s="544"/>
      <c r="F1638" s="544"/>
      <c r="G1638" s="544"/>
      <c r="H1638" s="544"/>
      <c r="I1638" s="543"/>
      <c r="J1638" s="543"/>
      <c r="K1638" s="544"/>
      <c r="L1638" s="543"/>
      <c r="M1638" s="544"/>
      <c r="N1638" s="543"/>
      <c r="O1638" s="544"/>
      <c r="P1638" s="544"/>
      <c r="Q1638" s="544"/>
      <c r="R1638" s="544"/>
      <c r="S1638" s="544"/>
    </row>
    <row r="1639" ht="14.25" customHeight="1">
      <c r="A1639" s="542"/>
      <c r="B1639" s="543"/>
      <c r="C1639" s="543"/>
      <c r="D1639" s="544"/>
      <c r="E1639" s="544"/>
      <c r="F1639" s="544"/>
      <c r="G1639" s="544"/>
      <c r="H1639" s="544"/>
      <c r="I1639" s="543"/>
      <c r="J1639" s="543"/>
      <c r="K1639" s="544"/>
      <c r="L1639" s="543"/>
      <c r="M1639" s="544"/>
      <c r="N1639" s="543"/>
      <c r="O1639" s="544"/>
      <c r="P1639" s="544"/>
      <c r="Q1639" s="544"/>
      <c r="R1639" s="544"/>
      <c r="S1639" s="544"/>
    </row>
    <row r="1640" ht="14.25" customHeight="1">
      <c r="A1640" s="542"/>
      <c r="B1640" s="543"/>
      <c r="C1640" s="543"/>
      <c r="D1640" s="544"/>
      <c r="E1640" s="544"/>
      <c r="F1640" s="544"/>
      <c r="G1640" s="544"/>
      <c r="H1640" s="544"/>
      <c r="I1640" s="543"/>
      <c r="J1640" s="543"/>
      <c r="K1640" s="544"/>
      <c r="L1640" s="543"/>
      <c r="M1640" s="544"/>
      <c r="N1640" s="543"/>
      <c r="O1640" s="544"/>
      <c r="P1640" s="544"/>
      <c r="Q1640" s="544"/>
      <c r="R1640" s="544"/>
      <c r="S1640" s="544"/>
    </row>
    <row r="1641" ht="14.25" customHeight="1">
      <c r="A1641" s="542"/>
      <c r="B1641" s="543"/>
      <c r="C1641" s="543"/>
      <c r="D1641" s="544"/>
      <c r="E1641" s="544"/>
      <c r="F1641" s="544"/>
      <c r="G1641" s="544"/>
      <c r="H1641" s="544"/>
      <c r="I1641" s="543"/>
      <c r="J1641" s="543"/>
      <c r="K1641" s="544"/>
      <c r="L1641" s="543"/>
      <c r="M1641" s="544"/>
      <c r="N1641" s="543"/>
      <c r="O1641" s="544"/>
      <c r="P1641" s="544"/>
      <c r="Q1641" s="544"/>
      <c r="R1641" s="544"/>
      <c r="S1641" s="544"/>
    </row>
    <row r="1642" ht="14.25" customHeight="1">
      <c r="A1642" s="542"/>
      <c r="B1642" s="543"/>
      <c r="C1642" s="543"/>
      <c r="D1642" s="544"/>
      <c r="E1642" s="544"/>
      <c r="F1642" s="544"/>
      <c r="G1642" s="544"/>
      <c r="H1642" s="544"/>
      <c r="I1642" s="543"/>
      <c r="J1642" s="543"/>
      <c r="K1642" s="544"/>
      <c r="L1642" s="543"/>
      <c r="M1642" s="544"/>
      <c r="N1642" s="543"/>
      <c r="O1642" s="544"/>
      <c r="P1642" s="544"/>
      <c r="Q1642" s="544"/>
      <c r="R1642" s="544"/>
      <c r="S1642" s="544"/>
    </row>
    <row r="1643" ht="14.25" customHeight="1">
      <c r="A1643" s="542"/>
      <c r="B1643" s="543"/>
      <c r="C1643" s="543"/>
      <c r="D1643" s="544"/>
      <c r="E1643" s="544"/>
      <c r="F1643" s="544"/>
      <c r="G1643" s="544"/>
      <c r="H1643" s="544"/>
      <c r="I1643" s="543"/>
      <c r="J1643" s="543"/>
      <c r="K1643" s="544"/>
      <c r="L1643" s="543"/>
      <c r="M1643" s="544"/>
      <c r="N1643" s="543"/>
      <c r="O1643" s="544"/>
      <c r="P1643" s="544"/>
      <c r="Q1643" s="544"/>
      <c r="R1643" s="544"/>
      <c r="S1643" s="544"/>
    </row>
    <row r="1644" ht="14.25" customHeight="1">
      <c r="A1644" s="542"/>
      <c r="B1644" s="543"/>
      <c r="C1644" s="543"/>
      <c r="D1644" s="544"/>
      <c r="E1644" s="544"/>
      <c r="F1644" s="544"/>
      <c r="G1644" s="544"/>
      <c r="H1644" s="544"/>
      <c r="I1644" s="543"/>
      <c r="J1644" s="543"/>
      <c r="K1644" s="544"/>
      <c r="L1644" s="543"/>
      <c r="M1644" s="544"/>
      <c r="N1644" s="543"/>
      <c r="O1644" s="544"/>
      <c r="P1644" s="544"/>
      <c r="Q1644" s="544"/>
      <c r="R1644" s="544"/>
      <c r="S1644" s="544"/>
    </row>
    <row r="1645" ht="14.25" customHeight="1">
      <c r="A1645" s="542"/>
      <c r="B1645" s="543"/>
      <c r="C1645" s="543"/>
      <c r="D1645" s="544"/>
      <c r="E1645" s="544"/>
      <c r="F1645" s="544"/>
      <c r="G1645" s="544"/>
      <c r="H1645" s="544"/>
      <c r="I1645" s="543"/>
      <c r="J1645" s="543"/>
      <c r="K1645" s="544"/>
      <c r="L1645" s="543"/>
      <c r="M1645" s="544"/>
      <c r="N1645" s="543"/>
      <c r="O1645" s="544"/>
      <c r="P1645" s="544"/>
      <c r="Q1645" s="544"/>
      <c r="R1645" s="544"/>
      <c r="S1645" s="544"/>
    </row>
    <row r="1646" ht="14.25" customHeight="1">
      <c r="A1646" s="542"/>
      <c r="B1646" s="543"/>
      <c r="C1646" s="543"/>
      <c r="D1646" s="544"/>
      <c r="E1646" s="544"/>
      <c r="F1646" s="544"/>
      <c r="G1646" s="544"/>
      <c r="H1646" s="544"/>
      <c r="I1646" s="543"/>
      <c r="J1646" s="543"/>
      <c r="K1646" s="544"/>
      <c r="L1646" s="543"/>
      <c r="M1646" s="544"/>
      <c r="N1646" s="543"/>
      <c r="O1646" s="544"/>
      <c r="P1646" s="544"/>
      <c r="Q1646" s="544"/>
      <c r="R1646" s="544"/>
      <c r="S1646" s="544"/>
    </row>
    <row r="1647" ht="14.25" customHeight="1">
      <c r="A1647" s="542"/>
      <c r="B1647" s="543"/>
      <c r="C1647" s="543"/>
      <c r="D1647" s="544"/>
      <c r="E1647" s="544"/>
      <c r="F1647" s="544"/>
      <c r="G1647" s="544"/>
      <c r="H1647" s="544"/>
      <c r="I1647" s="543"/>
      <c r="J1647" s="543"/>
      <c r="K1647" s="544"/>
      <c r="L1647" s="543"/>
      <c r="M1647" s="544"/>
      <c r="N1647" s="543"/>
      <c r="O1647" s="544"/>
      <c r="P1647" s="544"/>
      <c r="Q1647" s="544"/>
      <c r="R1647" s="544"/>
      <c r="S1647" s="544"/>
    </row>
    <row r="1648" ht="14.25" customHeight="1">
      <c r="A1648" s="542"/>
      <c r="B1648" s="543"/>
      <c r="C1648" s="543"/>
      <c r="D1648" s="544"/>
      <c r="E1648" s="544"/>
      <c r="F1648" s="544"/>
      <c r="G1648" s="544"/>
      <c r="H1648" s="544"/>
      <c r="I1648" s="543"/>
      <c r="J1648" s="543"/>
      <c r="K1648" s="544"/>
      <c r="L1648" s="543"/>
      <c r="M1648" s="544"/>
      <c r="N1648" s="543"/>
      <c r="O1648" s="544"/>
      <c r="P1648" s="544"/>
      <c r="Q1648" s="544"/>
      <c r="R1648" s="544"/>
      <c r="S1648" s="544"/>
    </row>
    <row r="1649" ht="14.25" customHeight="1">
      <c r="A1649" s="542"/>
      <c r="B1649" s="543"/>
      <c r="C1649" s="543"/>
      <c r="D1649" s="544"/>
      <c r="E1649" s="544"/>
      <c r="F1649" s="544"/>
      <c r="G1649" s="544"/>
      <c r="H1649" s="544"/>
      <c r="I1649" s="543"/>
      <c r="J1649" s="543"/>
      <c r="K1649" s="544"/>
      <c r="L1649" s="543"/>
      <c r="M1649" s="544"/>
      <c r="N1649" s="543"/>
      <c r="O1649" s="544"/>
      <c r="P1649" s="544"/>
      <c r="Q1649" s="544"/>
      <c r="R1649" s="544"/>
      <c r="S1649" s="544"/>
    </row>
    <row r="1650" ht="14.25" customHeight="1">
      <c r="A1650" s="542"/>
      <c r="B1650" s="543"/>
      <c r="C1650" s="543"/>
      <c r="D1650" s="544"/>
      <c r="E1650" s="544"/>
      <c r="F1650" s="544"/>
      <c r="G1650" s="544"/>
      <c r="H1650" s="544"/>
      <c r="I1650" s="543"/>
      <c r="J1650" s="543"/>
      <c r="K1650" s="544"/>
      <c r="L1650" s="543"/>
      <c r="M1650" s="544"/>
      <c r="N1650" s="543"/>
      <c r="O1650" s="544"/>
      <c r="P1650" s="544"/>
      <c r="Q1650" s="544"/>
      <c r="R1650" s="544"/>
      <c r="S1650" s="544"/>
    </row>
    <row r="1651" ht="14.25" customHeight="1">
      <c r="A1651" s="542"/>
      <c r="B1651" s="543"/>
      <c r="C1651" s="543"/>
      <c r="D1651" s="544"/>
      <c r="E1651" s="544"/>
      <c r="F1651" s="544"/>
      <c r="G1651" s="544"/>
      <c r="H1651" s="544"/>
      <c r="I1651" s="543"/>
      <c r="J1651" s="543"/>
      <c r="K1651" s="544"/>
      <c r="L1651" s="543"/>
      <c r="M1651" s="544"/>
      <c r="N1651" s="543"/>
      <c r="O1651" s="544"/>
      <c r="P1651" s="544"/>
      <c r="Q1651" s="544"/>
      <c r="R1651" s="544"/>
      <c r="S1651" s="544"/>
    </row>
    <row r="1652" ht="14.25" customHeight="1">
      <c r="A1652" s="542"/>
      <c r="B1652" s="543"/>
      <c r="C1652" s="543"/>
      <c r="D1652" s="544"/>
      <c r="E1652" s="544"/>
      <c r="F1652" s="544"/>
      <c r="G1652" s="544"/>
      <c r="H1652" s="544"/>
      <c r="I1652" s="543"/>
      <c r="J1652" s="543"/>
      <c r="K1652" s="544"/>
      <c r="L1652" s="543"/>
      <c r="M1652" s="544"/>
      <c r="N1652" s="543"/>
      <c r="O1652" s="544"/>
      <c r="P1652" s="544"/>
      <c r="Q1652" s="544"/>
      <c r="R1652" s="544"/>
      <c r="S1652" s="544"/>
    </row>
    <row r="1653" ht="14.25" customHeight="1">
      <c r="A1653" s="542"/>
      <c r="B1653" s="543"/>
      <c r="C1653" s="543"/>
      <c r="D1653" s="544"/>
      <c r="E1653" s="544"/>
      <c r="F1653" s="544"/>
      <c r="G1653" s="544"/>
      <c r="H1653" s="544"/>
      <c r="I1653" s="543"/>
      <c r="J1653" s="543"/>
      <c r="K1653" s="544"/>
      <c r="L1653" s="543"/>
      <c r="M1653" s="544"/>
      <c r="N1653" s="543"/>
      <c r="O1653" s="544"/>
      <c r="P1653" s="544"/>
      <c r="Q1653" s="544"/>
      <c r="R1653" s="544"/>
      <c r="S1653" s="544"/>
    </row>
    <row r="1654" ht="14.25" customHeight="1">
      <c r="A1654" s="542"/>
      <c r="B1654" s="543"/>
      <c r="C1654" s="543"/>
      <c r="D1654" s="544"/>
      <c r="E1654" s="544"/>
      <c r="F1654" s="544"/>
      <c r="G1654" s="544"/>
      <c r="H1654" s="544"/>
      <c r="I1654" s="543"/>
      <c r="J1654" s="543"/>
      <c r="K1654" s="544"/>
      <c r="L1654" s="543"/>
      <c r="M1654" s="544"/>
      <c r="N1654" s="543"/>
      <c r="O1654" s="544"/>
      <c r="P1654" s="544"/>
      <c r="Q1654" s="544"/>
      <c r="R1654" s="544"/>
      <c r="S1654" s="544"/>
    </row>
    <row r="1655" ht="14.25" customHeight="1">
      <c r="A1655" s="542"/>
      <c r="B1655" s="543"/>
      <c r="C1655" s="543"/>
      <c r="D1655" s="544"/>
      <c r="E1655" s="544"/>
      <c r="F1655" s="544"/>
      <c r="G1655" s="544"/>
      <c r="H1655" s="544"/>
      <c r="I1655" s="543"/>
      <c r="J1655" s="543"/>
      <c r="K1655" s="544"/>
      <c r="L1655" s="543"/>
      <c r="M1655" s="544"/>
      <c r="N1655" s="543"/>
      <c r="O1655" s="544"/>
      <c r="P1655" s="544"/>
      <c r="Q1655" s="544"/>
      <c r="R1655" s="544"/>
      <c r="S1655" s="544"/>
    </row>
    <row r="1656" ht="14.25" customHeight="1">
      <c r="A1656" s="542"/>
      <c r="B1656" s="543"/>
      <c r="C1656" s="543"/>
      <c r="D1656" s="544"/>
      <c r="E1656" s="544"/>
      <c r="F1656" s="544"/>
      <c r="G1656" s="544"/>
      <c r="H1656" s="544"/>
      <c r="I1656" s="543"/>
      <c r="J1656" s="543"/>
      <c r="K1656" s="544"/>
      <c r="L1656" s="543"/>
      <c r="M1656" s="544"/>
      <c r="N1656" s="543"/>
      <c r="O1656" s="544"/>
      <c r="P1656" s="544"/>
      <c r="Q1656" s="544"/>
      <c r="R1656" s="544"/>
      <c r="S1656" s="544"/>
    </row>
    <row r="1657" ht="14.25" customHeight="1">
      <c r="A1657" s="542"/>
      <c r="B1657" s="543"/>
      <c r="C1657" s="543"/>
      <c r="D1657" s="544"/>
      <c r="E1657" s="544"/>
      <c r="F1657" s="544"/>
      <c r="G1657" s="544"/>
      <c r="H1657" s="544"/>
      <c r="I1657" s="543"/>
      <c r="J1657" s="543"/>
      <c r="K1657" s="544"/>
      <c r="L1657" s="543"/>
      <c r="M1657" s="544"/>
      <c r="N1657" s="543"/>
      <c r="O1657" s="544"/>
      <c r="P1657" s="544"/>
      <c r="Q1657" s="544"/>
      <c r="R1657" s="544"/>
      <c r="S1657" s="544"/>
    </row>
    <row r="1658" ht="14.25" customHeight="1">
      <c r="A1658" s="542"/>
      <c r="B1658" s="543"/>
      <c r="C1658" s="543"/>
      <c r="D1658" s="544"/>
      <c r="E1658" s="544"/>
      <c r="F1658" s="544"/>
      <c r="G1658" s="544"/>
      <c r="H1658" s="544"/>
      <c r="I1658" s="543"/>
      <c r="J1658" s="543"/>
      <c r="K1658" s="544"/>
      <c r="L1658" s="543"/>
      <c r="M1658" s="544"/>
      <c r="N1658" s="543"/>
      <c r="O1658" s="544"/>
      <c r="P1658" s="544"/>
      <c r="Q1658" s="544"/>
      <c r="R1658" s="544"/>
      <c r="S1658" s="544"/>
    </row>
    <row r="1659" ht="14.25" customHeight="1">
      <c r="A1659" s="542"/>
      <c r="B1659" s="543"/>
      <c r="C1659" s="543"/>
      <c r="D1659" s="544"/>
      <c r="E1659" s="544"/>
      <c r="F1659" s="544"/>
      <c r="G1659" s="544"/>
      <c r="H1659" s="544"/>
      <c r="I1659" s="543"/>
      <c r="J1659" s="543"/>
      <c r="K1659" s="544"/>
      <c r="L1659" s="543"/>
      <c r="M1659" s="544"/>
      <c r="N1659" s="543"/>
      <c r="O1659" s="544"/>
      <c r="P1659" s="544"/>
      <c r="Q1659" s="544"/>
      <c r="R1659" s="544"/>
      <c r="S1659" s="544"/>
    </row>
    <row r="1660" ht="14.25" customHeight="1">
      <c r="A1660" s="542"/>
      <c r="B1660" s="543"/>
      <c r="C1660" s="543"/>
      <c r="D1660" s="544"/>
      <c r="E1660" s="544"/>
      <c r="F1660" s="544"/>
      <c r="G1660" s="544"/>
      <c r="H1660" s="544"/>
      <c r="I1660" s="543"/>
      <c r="J1660" s="543"/>
      <c r="K1660" s="544"/>
      <c r="L1660" s="543"/>
      <c r="M1660" s="544"/>
      <c r="N1660" s="543"/>
      <c r="O1660" s="544"/>
      <c r="P1660" s="544"/>
      <c r="Q1660" s="544"/>
      <c r="R1660" s="544"/>
      <c r="S1660" s="544"/>
    </row>
    <row r="1661" ht="14.25" customHeight="1">
      <c r="A1661" s="542"/>
      <c r="B1661" s="543"/>
      <c r="C1661" s="543"/>
      <c r="D1661" s="544"/>
      <c r="E1661" s="544"/>
      <c r="F1661" s="544"/>
      <c r="G1661" s="544"/>
      <c r="H1661" s="544"/>
      <c r="I1661" s="543"/>
      <c r="J1661" s="543"/>
      <c r="K1661" s="544"/>
      <c r="L1661" s="543"/>
      <c r="M1661" s="544"/>
      <c r="N1661" s="543"/>
      <c r="O1661" s="544"/>
      <c r="P1661" s="544"/>
      <c r="Q1661" s="544"/>
      <c r="R1661" s="544"/>
      <c r="S1661" s="544"/>
    </row>
    <row r="1662" ht="14.25" customHeight="1">
      <c r="A1662" s="542"/>
      <c r="B1662" s="543"/>
      <c r="C1662" s="543"/>
      <c r="D1662" s="544"/>
      <c r="E1662" s="544"/>
      <c r="F1662" s="544"/>
      <c r="G1662" s="544"/>
      <c r="H1662" s="544"/>
      <c r="I1662" s="543"/>
      <c r="J1662" s="543"/>
      <c r="K1662" s="544"/>
      <c r="L1662" s="543"/>
      <c r="M1662" s="544"/>
      <c r="N1662" s="543"/>
      <c r="O1662" s="544"/>
      <c r="P1662" s="544"/>
      <c r="Q1662" s="544"/>
      <c r="R1662" s="544"/>
      <c r="S1662" s="544"/>
    </row>
    <row r="1663" ht="14.25" customHeight="1">
      <c r="A1663" s="542"/>
      <c r="B1663" s="543"/>
      <c r="C1663" s="543"/>
      <c r="D1663" s="544"/>
      <c r="E1663" s="544"/>
      <c r="F1663" s="544"/>
      <c r="G1663" s="544"/>
      <c r="H1663" s="544"/>
      <c r="I1663" s="543"/>
      <c r="J1663" s="543"/>
      <c r="K1663" s="544"/>
      <c r="L1663" s="543"/>
      <c r="M1663" s="544"/>
      <c r="N1663" s="543"/>
      <c r="O1663" s="544"/>
      <c r="P1663" s="544"/>
      <c r="Q1663" s="544"/>
      <c r="R1663" s="544"/>
      <c r="S1663" s="544"/>
    </row>
    <row r="1664" ht="14.25" customHeight="1">
      <c r="A1664" s="542"/>
      <c r="B1664" s="543"/>
      <c r="C1664" s="543"/>
      <c r="D1664" s="544"/>
      <c r="E1664" s="544"/>
      <c r="F1664" s="544"/>
      <c r="G1664" s="544"/>
      <c r="H1664" s="544"/>
      <c r="I1664" s="543"/>
      <c r="J1664" s="543"/>
      <c r="K1664" s="544"/>
      <c r="L1664" s="543"/>
      <c r="M1664" s="544"/>
      <c r="N1664" s="543"/>
      <c r="O1664" s="544"/>
      <c r="P1664" s="544"/>
      <c r="Q1664" s="544"/>
      <c r="R1664" s="544"/>
      <c r="S1664" s="544"/>
    </row>
    <row r="1665" ht="14.25" customHeight="1">
      <c r="A1665" s="542"/>
      <c r="B1665" s="543"/>
      <c r="C1665" s="543"/>
      <c r="D1665" s="544"/>
      <c r="E1665" s="544"/>
      <c r="F1665" s="544"/>
      <c r="G1665" s="544"/>
      <c r="H1665" s="544"/>
      <c r="I1665" s="543"/>
      <c r="J1665" s="543"/>
      <c r="K1665" s="544"/>
      <c r="L1665" s="543"/>
      <c r="M1665" s="544"/>
      <c r="N1665" s="543"/>
      <c r="O1665" s="544"/>
      <c r="P1665" s="544"/>
      <c r="Q1665" s="544"/>
      <c r="R1665" s="544"/>
      <c r="S1665" s="544"/>
    </row>
    <row r="1666" ht="14.25" customHeight="1">
      <c r="A1666" s="542"/>
      <c r="B1666" s="543"/>
      <c r="C1666" s="543"/>
      <c r="D1666" s="544"/>
      <c r="E1666" s="544"/>
      <c r="F1666" s="544"/>
      <c r="G1666" s="544"/>
      <c r="H1666" s="544"/>
      <c r="I1666" s="543"/>
      <c r="J1666" s="543"/>
      <c r="K1666" s="544"/>
      <c r="L1666" s="543"/>
      <c r="M1666" s="544"/>
      <c r="N1666" s="543"/>
      <c r="O1666" s="544"/>
      <c r="P1666" s="544"/>
      <c r="Q1666" s="544"/>
      <c r="R1666" s="544"/>
      <c r="S1666" s="544"/>
    </row>
    <row r="1667" ht="14.25" customHeight="1">
      <c r="A1667" s="542"/>
      <c r="B1667" s="543"/>
      <c r="C1667" s="543"/>
      <c r="D1667" s="544"/>
      <c r="E1667" s="544"/>
      <c r="F1667" s="544"/>
      <c r="G1667" s="544"/>
      <c r="H1667" s="544"/>
      <c r="I1667" s="543"/>
      <c r="J1667" s="543"/>
      <c r="K1667" s="544"/>
      <c r="L1667" s="543"/>
      <c r="M1667" s="544"/>
      <c r="N1667" s="543"/>
      <c r="O1667" s="544"/>
      <c r="P1667" s="544"/>
      <c r="Q1667" s="544"/>
      <c r="R1667" s="544"/>
      <c r="S1667" s="544"/>
    </row>
    <row r="1668" ht="14.25" customHeight="1">
      <c r="A1668" s="542"/>
      <c r="B1668" s="543"/>
      <c r="C1668" s="543"/>
      <c r="D1668" s="544"/>
      <c r="E1668" s="544"/>
      <c r="F1668" s="544"/>
      <c r="G1668" s="544"/>
      <c r="H1668" s="544"/>
      <c r="I1668" s="543"/>
      <c r="J1668" s="543"/>
      <c r="K1668" s="544"/>
      <c r="L1668" s="543"/>
      <c r="M1668" s="544"/>
      <c r="N1668" s="543"/>
      <c r="O1668" s="544"/>
      <c r="P1668" s="544"/>
      <c r="Q1668" s="544"/>
      <c r="R1668" s="544"/>
      <c r="S1668" s="544"/>
    </row>
    <row r="1669" ht="14.25" customHeight="1">
      <c r="A1669" s="542"/>
      <c r="B1669" s="543"/>
      <c r="C1669" s="543"/>
      <c r="D1669" s="544"/>
      <c r="E1669" s="544"/>
      <c r="F1669" s="544"/>
      <c r="G1669" s="544"/>
      <c r="H1669" s="544"/>
      <c r="I1669" s="543"/>
      <c r="J1669" s="543"/>
      <c r="K1669" s="544"/>
      <c r="L1669" s="543"/>
      <c r="M1669" s="544"/>
      <c r="N1669" s="543"/>
      <c r="O1669" s="544"/>
      <c r="P1669" s="544"/>
      <c r="Q1669" s="544"/>
      <c r="R1669" s="544"/>
      <c r="S1669" s="544"/>
    </row>
    <row r="1670" ht="14.25" customHeight="1">
      <c r="A1670" s="542"/>
      <c r="B1670" s="543"/>
      <c r="C1670" s="543"/>
      <c r="D1670" s="544"/>
      <c r="E1670" s="544"/>
      <c r="F1670" s="544"/>
      <c r="G1670" s="544"/>
      <c r="H1670" s="544"/>
      <c r="I1670" s="543"/>
      <c r="J1670" s="543"/>
      <c r="K1670" s="544"/>
      <c r="L1670" s="543"/>
      <c r="M1670" s="544"/>
      <c r="N1670" s="543"/>
      <c r="O1670" s="544"/>
      <c r="P1670" s="544"/>
      <c r="Q1670" s="544"/>
      <c r="R1670" s="544"/>
      <c r="S1670" s="544"/>
    </row>
    <row r="1671" ht="14.25" customHeight="1">
      <c r="A1671" s="542"/>
      <c r="B1671" s="543"/>
      <c r="C1671" s="543"/>
      <c r="D1671" s="544"/>
      <c r="E1671" s="544"/>
      <c r="F1671" s="544"/>
      <c r="G1671" s="544"/>
      <c r="H1671" s="544"/>
      <c r="I1671" s="543"/>
      <c r="J1671" s="543"/>
      <c r="K1671" s="544"/>
      <c r="L1671" s="543"/>
      <c r="M1671" s="544"/>
      <c r="N1671" s="543"/>
      <c r="O1671" s="544"/>
      <c r="P1671" s="544"/>
      <c r="Q1671" s="544"/>
      <c r="R1671" s="544"/>
      <c r="S1671" s="544"/>
    </row>
    <row r="1672" ht="14.25" customHeight="1">
      <c r="A1672" s="542"/>
      <c r="B1672" s="543"/>
      <c r="C1672" s="543"/>
      <c r="D1672" s="544"/>
      <c r="E1672" s="544"/>
      <c r="F1672" s="544"/>
      <c r="G1672" s="544"/>
      <c r="H1672" s="544"/>
      <c r="I1672" s="543"/>
      <c r="J1672" s="543"/>
      <c r="K1672" s="544"/>
      <c r="L1672" s="543"/>
      <c r="M1672" s="544"/>
      <c r="N1672" s="543"/>
      <c r="O1672" s="544"/>
      <c r="P1672" s="544"/>
      <c r="Q1672" s="544"/>
      <c r="R1672" s="544"/>
      <c r="S1672" s="544"/>
    </row>
    <row r="1673" ht="14.25" customHeight="1">
      <c r="A1673" s="542"/>
      <c r="B1673" s="543"/>
      <c r="C1673" s="543"/>
      <c r="D1673" s="544"/>
      <c r="E1673" s="544"/>
      <c r="F1673" s="544"/>
      <c r="G1673" s="544"/>
      <c r="H1673" s="544"/>
      <c r="I1673" s="543"/>
      <c r="J1673" s="543"/>
      <c r="K1673" s="544"/>
      <c r="L1673" s="543"/>
      <c r="M1673" s="544"/>
      <c r="N1673" s="543"/>
      <c r="O1673" s="544"/>
      <c r="P1673" s="544"/>
      <c r="Q1673" s="544"/>
      <c r="R1673" s="544"/>
      <c r="S1673" s="544"/>
    </row>
    <row r="1674" ht="14.25" customHeight="1">
      <c r="A1674" s="542"/>
      <c r="B1674" s="543"/>
      <c r="C1674" s="543"/>
      <c r="D1674" s="544"/>
      <c r="E1674" s="544"/>
      <c r="F1674" s="544"/>
      <c r="G1674" s="544"/>
      <c r="H1674" s="544"/>
      <c r="I1674" s="543"/>
      <c r="J1674" s="543"/>
      <c r="K1674" s="544"/>
      <c r="L1674" s="543"/>
      <c r="M1674" s="544"/>
      <c r="N1674" s="543"/>
      <c r="O1674" s="544"/>
      <c r="P1674" s="544"/>
      <c r="Q1674" s="544"/>
      <c r="R1674" s="544"/>
      <c r="S1674" s="544"/>
    </row>
    <row r="1675" ht="14.25" customHeight="1">
      <c r="A1675" s="542"/>
      <c r="B1675" s="543"/>
      <c r="C1675" s="543"/>
      <c r="D1675" s="544"/>
      <c r="E1675" s="544"/>
      <c r="F1675" s="544"/>
      <c r="G1675" s="544"/>
      <c r="H1675" s="544"/>
      <c r="I1675" s="543"/>
      <c r="J1675" s="543"/>
      <c r="K1675" s="544"/>
      <c r="L1675" s="543"/>
      <c r="M1675" s="544"/>
      <c r="N1675" s="543"/>
      <c r="O1675" s="544"/>
      <c r="P1675" s="544"/>
      <c r="Q1675" s="544"/>
      <c r="R1675" s="544"/>
      <c r="S1675" s="544"/>
    </row>
    <row r="1676" ht="14.25" customHeight="1">
      <c r="A1676" s="542"/>
      <c r="B1676" s="543"/>
      <c r="C1676" s="543"/>
      <c r="D1676" s="544"/>
      <c r="E1676" s="544"/>
      <c r="F1676" s="544"/>
      <c r="G1676" s="544"/>
      <c r="H1676" s="544"/>
      <c r="I1676" s="543"/>
      <c r="J1676" s="543"/>
      <c r="K1676" s="544"/>
      <c r="L1676" s="543"/>
      <c r="M1676" s="544"/>
      <c r="N1676" s="543"/>
      <c r="O1676" s="544"/>
      <c r="P1676" s="544"/>
      <c r="Q1676" s="544"/>
      <c r="R1676" s="544"/>
      <c r="S1676" s="544"/>
    </row>
    <row r="1677" ht="14.25" customHeight="1">
      <c r="A1677" s="542"/>
      <c r="B1677" s="543"/>
      <c r="C1677" s="543"/>
      <c r="D1677" s="544"/>
      <c r="E1677" s="544"/>
      <c r="F1677" s="544"/>
      <c r="G1677" s="544"/>
      <c r="H1677" s="544"/>
      <c r="I1677" s="543"/>
      <c r="J1677" s="543"/>
      <c r="K1677" s="544"/>
      <c r="L1677" s="543"/>
      <c r="M1677" s="544"/>
      <c r="N1677" s="543"/>
      <c r="O1677" s="544"/>
      <c r="P1677" s="544"/>
      <c r="Q1677" s="544"/>
      <c r="R1677" s="544"/>
      <c r="S1677" s="544"/>
    </row>
    <row r="1678" ht="14.25" customHeight="1">
      <c r="A1678" s="542"/>
      <c r="B1678" s="543"/>
      <c r="C1678" s="543"/>
      <c r="D1678" s="544"/>
      <c r="E1678" s="544"/>
      <c r="F1678" s="544"/>
      <c r="G1678" s="544"/>
      <c r="H1678" s="544"/>
      <c r="I1678" s="543"/>
      <c r="J1678" s="543"/>
      <c r="K1678" s="544"/>
      <c r="L1678" s="543"/>
      <c r="M1678" s="544"/>
      <c r="N1678" s="543"/>
      <c r="O1678" s="544"/>
      <c r="P1678" s="544"/>
      <c r="Q1678" s="544"/>
      <c r="R1678" s="544"/>
      <c r="S1678" s="544"/>
    </row>
    <row r="1679" ht="14.25" customHeight="1">
      <c r="A1679" s="542"/>
      <c r="B1679" s="543"/>
      <c r="C1679" s="543"/>
      <c r="D1679" s="544"/>
      <c r="E1679" s="544"/>
      <c r="F1679" s="544"/>
      <c r="G1679" s="544"/>
      <c r="H1679" s="544"/>
      <c r="I1679" s="543"/>
      <c r="J1679" s="543"/>
      <c r="K1679" s="544"/>
      <c r="L1679" s="543"/>
      <c r="M1679" s="544"/>
      <c r="N1679" s="543"/>
      <c r="O1679" s="544"/>
      <c r="P1679" s="544"/>
      <c r="Q1679" s="544"/>
      <c r="R1679" s="544"/>
      <c r="S1679" s="544"/>
    </row>
    <row r="1680" ht="14.25" customHeight="1">
      <c r="A1680" s="542"/>
      <c r="B1680" s="543"/>
      <c r="C1680" s="543"/>
      <c r="D1680" s="544"/>
      <c r="E1680" s="544"/>
      <c r="F1680" s="544"/>
      <c r="G1680" s="544"/>
      <c r="H1680" s="544"/>
      <c r="I1680" s="543"/>
      <c r="J1680" s="543"/>
      <c r="K1680" s="544"/>
      <c r="L1680" s="543"/>
      <c r="M1680" s="544"/>
      <c r="N1680" s="543"/>
      <c r="O1680" s="544"/>
      <c r="P1680" s="544"/>
      <c r="Q1680" s="544"/>
      <c r="R1680" s="544"/>
      <c r="S1680" s="544"/>
    </row>
    <row r="1681" ht="14.25" customHeight="1">
      <c r="A1681" s="542"/>
      <c r="B1681" s="543"/>
      <c r="C1681" s="543"/>
      <c r="D1681" s="544"/>
      <c r="E1681" s="544"/>
      <c r="F1681" s="544"/>
      <c r="G1681" s="544"/>
      <c r="H1681" s="544"/>
      <c r="I1681" s="543"/>
      <c r="J1681" s="543"/>
      <c r="K1681" s="544"/>
      <c r="L1681" s="543"/>
      <c r="M1681" s="544"/>
      <c r="N1681" s="543"/>
      <c r="O1681" s="544"/>
      <c r="P1681" s="544"/>
      <c r="Q1681" s="544"/>
      <c r="R1681" s="544"/>
      <c r="S1681" s="544"/>
    </row>
    <row r="1682" ht="14.25" customHeight="1">
      <c r="A1682" s="542"/>
      <c r="B1682" s="543"/>
      <c r="C1682" s="543"/>
      <c r="D1682" s="544"/>
      <c r="E1682" s="544"/>
      <c r="F1682" s="544"/>
      <c r="G1682" s="544"/>
      <c r="H1682" s="544"/>
      <c r="I1682" s="543"/>
      <c r="J1682" s="543"/>
      <c r="K1682" s="544"/>
      <c r="L1682" s="543"/>
      <c r="M1682" s="544"/>
      <c r="N1682" s="543"/>
      <c r="O1682" s="544"/>
      <c r="P1682" s="544"/>
      <c r="Q1682" s="544"/>
      <c r="R1682" s="544"/>
      <c r="S1682" s="544"/>
    </row>
    <row r="1683" ht="14.25" customHeight="1">
      <c r="A1683" s="542"/>
      <c r="B1683" s="543"/>
      <c r="C1683" s="543"/>
      <c r="D1683" s="544"/>
      <c r="E1683" s="544"/>
      <c r="F1683" s="544"/>
      <c r="G1683" s="544"/>
      <c r="H1683" s="544"/>
      <c r="I1683" s="543"/>
      <c r="J1683" s="543"/>
      <c r="K1683" s="544"/>
      <c r="L1683" s="543"/>
      <c r="M1683" s="544"/>
      <c r="N1683" s="543"/>
      <c r="O1683" s="544"/>
      <c r="P1683" s="544"/>
      <c r="Q1683" s="544"/>
      <c r="R1683" s="544"/>
      <c r="S1683" s="544"/>
    </row>
    <row r="1684" ht="14.25" customHeight="1">
      <c r="A1684" s="542"/>
      <c r="B1684" s="543"/>
      <c r="C1684" s="543"/>
      <c r="D1684" s="544"/>
      <c r="E1684" s="544"/>
      <c r="F1684" s="544"/>
      <c r="G1684" s="544"/>
      <c r="H1684" s="544"/>
      <c r="I1684" s="543"/>
      <c r="J1684" s="543"/>
      <c r="K1684" s="544"/>
      <c r="L1684" s="543"/>
      <c r="M1684" s="544"/>
      <c r="N1684" s="543"/>
      <c r="O1684" s="544"/>
      <c r="P1684" s="544"/>
      <c r="Q1684" s="544"/>
      <c r="R1684" s="544"/>
      <c r="S1684" s="544"/>
    </row>
    <row r="1685" ht="14.25" customHeight="1">
      <c r="A1685" s="542"/>
      <c r="B1685" s="543"/>
      <c r="C1685" s="543"/>
      <c r="D1685" s="544"/>
      <c r="E1685" s="544"/>
      <c r="F1685" s="544"/>
      <c r="G1685" s="544"/>
      <c r="H1685" s="544"/>
      <c r="I1685" s="543"/>
      <c r="J1685" s="543"/>
      <c r="K1685" s="544"/>
      <c r="L1685" s="543"/>
      <c r="M1685" s="544"/>
      <c r="N1685" s="543"/>
      <c r="O1685" s="544"/>
      <c r="P1685" s="544"/>
      <c r="Q1685" s="544"/>
      <c r="R1685" s="544"/>
      <c r="S1685" s="544"/>
    </row>
    <row r="1686" ht="14.25" customHeight="1">
      <c r="A1686" s="542"/>
      <c r="B1686" s="543"/>
      <c r="C1686" s="543"/>
      <c r="D1686" s="544"/>
      <c r="E1686" s="544"/>
      <c r="F1686" s="544"/>
      <c r="G1686" s="544"/>
      <c r="H1686" s="544"/>
      <c r="I1686" s="543"/>
      <c r="J1686" s="543"/>
      <c r="K1686" s="544"/>
      <c r="L1686" s="543"/>
      <c r="M1686" s="544"/>
      <c r="N1686" s="543"/>
      <c r="O1686" s="544"/>
      <c r="P1686" s="544"/>
      <c r="Q1686" s="544"/>
      <c r="R1686" s="544"/>
      <c r="S1686" s="544"/>
    </row>
    <row r="1687" ht="14.25" customHeight="1">
      <c r="A1687" s="542"/>
      <c r="B1687" s="543"/>
      <c r="C1687" s="543"/>
      <c r="D1687" s="544"/>
      <c r="E1687" s="544"/>
      <c r="F1687" s="544"/>
      <c r="G1687" s="544"/>
      <c r="H1687" s="544"/>
      <c r="I1687" s="543"/>
      <c r="J1687" s="543"/>
      <c r="K1687" s="544"/>
      <c r="L1687" s="543"/>
      <c r="M1687" s="544"/>
      <c r="N1687" s="543"/>
      <c r="O1687" s="544"/>
      <c r="P1687" s="544"/>
      <c r="Q1687" s="544"/>
      <c r="R1687" s="544"/>
      <c r="S1687" s="544"/>
    </row>
    <row r="1688" ht="14.25" customHeight="1">
      <c r="A1688" s="542"/>
      <c r="B1688" s="543"/>
      <c r="C1688" s="543"/>
      <c r="D1688" s="544"/>
      <c r="E1688" s="544"/>
      <c r="F1688" s="544"/>
      <c r="G1688" s="544"/>
      <c r="H1688" s="544"/>
      <c r="I1688" s="543"/>
      <c r="J1688" s="543"/>
      <c r="K1688" s="544"/>
      <c r="L1688" s="543"/>
      <c r="M1688" s="544"/>
      <c r="N1688" s="543"/>
      <c r="O1688" s="544"/>
      <c r="P1688" s="544"/>
      <c r="Q1688" s="544"/>
      <c r="R1688" s="544"/>
      <c r="S1688" s="544"/>
    </row>
    <row r="1689" ht="14.25" customHeight="1">
      <c r="A1689" s="542"/>
      <c r="B1689" s="543"/>
      <c r="C1689" s="543"/>
      <c r="D1689" s="544"/>
      <c r="E1689" s="544"/>
      <c r="F1689" s="544"/>
      <c r="G1689" s="544"/>
      <c r="H1689" s="544"/>
      <c r="I1689" s="543"/>
      <c r="J1689" s="543"/>
      <c r="K1689" s="544"/>
      <c r="L1689" s="543"/>
      <c r="M1689" s="544"/>
      <c r="N1689" s="543"/>
      <c r="O1689" s="544"/>
      <c r="P1689" s="544"/>
      <c r="Q1689" s="544"/>
      <c r="R1689" s="544"/>
      <c r="S1689" s="544"/>
    </row>
    <row r="1690" ht="14.25" customHeight="1">
      <c r="A1690" s="542"/>
      <c r="B1690" s="543"/>
      <c r="C1690" s="543"/>
      <c r="D1690" s="544"/>
      <c r="E1690" s="544"/>
      <c r="F1690" s="544"/>
      <c r="G1690" s="544"/>
      <c r="H1690" s="544"/>
      <c r="I1690" s="543"/>
      <c r="J1690" s="543"/>
      <c r="K1690" s="544"/>
      <c r="L1690" s="543"/>
      <c r="M1690" s="544"/>
      <c r="N1690" s="543"/>
      <c r="O1690" s="544"/>
      <c r="P1690" s="544"/>
      <c r="Q1690" s="544"/>
      <c r="R1690" s="544"/>
      <c r="S1690" s="544"/>
    </row>
    <row r="1691" ht="14.25" customHeight="1">
      <c r="A1691" s="542"/>
      <c r="B1691" s="543"/>
      <c r="C1691" s="543"/>
      <c r="D1691" s="544"/>
      <c r="E1691" s="544"/>
      <c r="F1691" s="544"/>
      <c r="G1691" s="544"/>
      <c r="H1691" s="544"/>
      <c r="I1691" s="543"/>
      <c r="J1691" s="543"/>
      <c r="K1691" s="544"/>
      <c r="L1691" s="543"/>
      <c r="M1691" s="544"/>
      <c r="N1691" s="543"/>
      <c r="O1691" s="544"/>
      <c r="P1691" s="544"/>
      <c r="Q1691" s="544"/>
      <c r="R1691" s="544"/>
      <c r="S1691" s="544"/>
    </row>
    <row r="1692" ht="14.25" customHeight="1">
      <c r="A1692" s="542"/>
      <c r="B1692" s="543"/>
      <c r="C1692" s="543"/>
      <c r="D1692" s="544"/>
      <c r="E1692" s="544"/>
      <c r="F1692" s="544"/>
      <c r="G1692" s="544"/>
      <c r="H1692" s="544"/>
      <c r="I1692" s="543"/>
      <c r="J1692" s="543"/>
      <c r="K1692" s="544"/>
      <c r="L1692" s="543"/>
      <c r="M1692" s="544"/>
      <c r="N1692" s="543"/>
      <c r="O1692" s="544"/>
      <c r="P1692" s="544"/>
      <c r="Q1692" s="544"/>
      <c r="R1692" s="544"/>
      <c r="S1692" s="544"/>
    </row>
    <row r="1693" ht="14.25" customHeight="1">
      <c r="A1693" s="542"/>
      <c r="B1693" s="543"/>
      <c r="C1693" s="543"/>
      <c r="D1693" s="544"/>
      <c r="E1693" s="544"/>
      <c r="F1693" s="544"/>
      <c r="G1693" s="544"/>
      <c r="H1693" s="544"/>
      <c r="I1693" s="543"/>
      <c r="J1693" s="543"/>
      <c r="K1693" s="544"/>
      <c r="L1693" s="543"/>
      <c r="M1693" s="544"/>
      <c r="N1693" s="543"/>
      <c r="O1693" s="544"/>
      <c r="P1693" s="544"/>
      <c r="Q1693" s="544"/>
      <c r="R1693" s="544"/>
      <c r="S1693" s="544"/>
    </row>
    <row r="1694" ht="14.25" customHeight="1">
      <c r="A1694" s="542"/>
      <c r="B1694" s="543"/>
      <c r="C1694" s="543"/>
      <c r="D1694" s="544"/>
      <c r="E1694" s="544"/>
      <c r="F1694" s="544"/>
      <c r="G1694" s="544"/>
      <c r="H1694" s="544"/>
      <c r="I1694" s="543"/>
      <c r="J1694" s="543"/>
      <c r="K1694" s="544"/>
      <c r="L1694" s="543"/>
      <c r="M1694" s="544"/>
      <c r="N1694" s="543"/>
      <c r="O1694" s="544"/>
      <c r="P1694" s="544"/>
      <c r="Q1694" s="544"/>
      <c r="R1694" s="544"/>
      <c r="S1694" s="544"/>
    </row>
    <row r="1695" ht="14.25" customHeight="1">
      <c r="A1695" s="542"/>
      <c r="B1695" s="543"/>
      <c r="C1695" s="543"/>
      <c r="D1695" s="544"/>
      <c r="E1695" s="544"/>
      <c r="F1695" s="544"/>
      <c r="G1695" s="544"/>
      <c r="H1695" s="544"/>
      <c r="I1695" s="543"/>
      <c r="J1695" s="543"/>
      <c r="K1695" s="544"/>
      <c r="L1695" s="543"/>
      <c r="M1695" s="544"/>
      <c r="N1695" s="543"/>
      <c r="O1695" s="544"/>
      <c r="P1695" s="544"/>
      <c r="Q1695" s="544"/>
      <c r="R1695" s="544"/>
      <c r="S1695" s="544"/>
    </row>
    <row r="1696" ht="14.25" customHeight="1">
      <c r="A1696" s="542"/>
      <c r="B1696" s="543"/>
      <c r="C1696" s="543"/>
      <c r="D1696" s="544"/>
      <c r="E1696" s="544"/>
      <c r="F1696" s="544"/>
      <c r="G1696" s="544"/>
      <c r="H1696" s="544"/>
      <c r="I1696" s="543"/>
      <c r="J1696" s="543"/>
      <c r="K1696" s="544"/>
      <c r="L1696" s="543"/>
      <c r="M1696" s="544"/>
      <c r="N1696" s="543"/>
      <c r="O1696" s="544"/>
      <c r="P1696" s="544"/>
      <c r="Q1696" s="544"/>
      <c r="R1696" s="544"/>
      <c r="S1696" s="544"/>
    </row>
    <row r="1697" ht="14.25" customHeight="1">
      <c r="A1697" s="542"/>
      <c r="B1697" s="543"/>
      <c r="C1697" s="543"/>
      <c r="D1697" s="544"/>
      <c r="E1697" s="544"/>
      <c r="F1697" s="544"/>
      <c r="G1697" s="544"/>
      <c r="H1697" s="544"/>
      <c r="I1697" s="543"/>
      <c r="J1697" s="543"/>
      <c r="K1697" s="544"/>
      <c r="L1697" s="543"/>
      <c r="M1697" s="544"/>
      <c r="N1697" s="543"/>
      <c r="O1697" s="544"/>
      <c r="P1697" s="544"/>
      <c r="Q1697" s="544"/>
      <c r="R1697" s="544"/>
      <c r="S1697" s="544"/>
    </row>
    <row r="1698" ht="14.25" customHeight="1">
      <c r="A1698" s="542"/>
      <c r="B1698" s="543"/>
      <c r="C1698" s="543"/>
      <c r="D1698" s="544"/>
      <c r="E1698" s="544"/>
      <c r="F1698" s="544"/>
      <c r="G1698" s="544"/>
      <c r="H1698" s="544"/>
      <c r="I1698" s="543"/>
      <c r="J1698" s="543"/>
      <c r="K1698" s="544"/>
      <c r="L1698" s="543"/>
      <c r="M1698" s="544"/>
      <c r="N1698" s="543"/>
      <c r="O1698" s="544"/>
      <c r="P1698" s="544"/>
      <c r="Q1698" s="544"/>
      <c r="R1698" s="544"/>
      <c r="S1698" s="544"/>
    </row>
    <row r="1699" ht="14.25" customHeight="1">
      <c r="A1699" s="542"/>
      <c r="B1699" s="543"/>
      <c r="C1699" s="543"/>
      <c r="D1699" s="544"/>
      <c r="E1699" s="544"/>
      <c r="F1699" s="544"/>
      <c r="G1699" s="544"/>
      <c r="H1699" s="544"/>
      <c r="I1699" s="543"/>
      <c r="J1699" s="543"/>
      <c r="K1699" s="544"/>
      <c r="L1699" s="543"/>
      <c r="M1699" s="544"/>
      <c r="N1699" s="543"/>
      <c r="O1699" s="544"/>
      <c r="P1699" s="544"/>
      <c r="Q1699" s="544"/>
      <c r="R1699" s="544"/>
      <c r="S1699" s="544"/>
    </row>
    <row r="1700" ht="14.25" customHeight="1">
      <c r="A1700" s="542"/>
      <c r="B1700" s="543"/>
      <c r="C1700" s="543"/>
      <c r="D1700" s="544"/>
      <c r="E1700" s="544"/>
      <c r="F1700" s="544"/>
      <c r="G1700" s="544"/>
      <c r="H1700" s="544"/>
      <c r="I1700" s="543"/>
      <c r="J1700" s="543"/>
      <c r="K1700" s="544"/>
      <c r="L1700" s="543"/>
      <c r="M1700" s="544"/>
      <c r="N1700" s="543"/>
      <c r="O1700" s="544"/>
      <c r="P1700" s="544"/>
      <c r="Q1700" s="544"/>
      <c r="R1700" s="544"/>
      <c r="S1700" s="544"/>
    </row>
    <row r="1701" ht="14.25" customHeight="1">
      <c r="A1701" s="542"/>
      <c r="B1701" s="543"/>
      <c r="C1701" s="543"/>
      <c r="D1701" s="544"/>
      <c r="E1701" s="544"/>
      <c r="F1701" s="544"/>
      <c r="G1701" s="544"/>
      <c r="H1701" s="544"/>
      <c r="I1701" s="543"/>
      <c r="J1701" s="543"/>
      <c r="K1701" s="544"/>
      <c r="L1701" s="543"/>
      <c r="M1701" s="544"/>
      <c r="N1701" s="543"/>
      <c r="O1701" s="544"/>
      <c r="P1701" s="544"/>
      <c r="Q1701" s="544"/>
      <c r="R1701" s="544"/>
      <c r="S1701" s="544"/>
    </row>
    <row r="1702" ht="14.25" customHeight="1">
      <c r="A1702" s="542"/>
      <c r="B1702" s="543"/>
      <c r="C1702" s="543"/>
      <c r="D1702" s="544"/>
      <c r="E1702" s="544"/>
      <c r="F1702" s="544"/>
      <c r="G1702" s="544"/>
      <c r="H1702" s="544"/>
      <c r="I1702" s="543"/>
      <c r="J1702" s="543"/>
      <c r="K1702" s="544"/>
      <c r="L1702" s="543"/>
      <c r="M1702" s="544"/>
      <c r="N1702" s="543"/>
      <c r="O1702" s="544"/>
      <c r="P1702" s="544"/>
      <c r="Q1702" s="544"/>
      <c r="R1702" s="544"/>
      <c r="S1702" s="544"/>
    </row>
    <row r="1703" ht="14.25" customHeight="1">
      <c r="A1703" s="542"/>
      <c r="B1703" s="543"/>
      <c r="C1703" s="543"/>
      <c r="D1703" s="544"/>
      <c r="E1703" s="544"/>
      <c r="F1703" s="544"/>
      <c r="G1703" s="544"/>
      <c r="H1703" s="544"/>
      <c r="I1703" s="543"/>
      <c r="J1703" s="543"/>
      <c r="K1703" s="544"/>
      <c r="L1703" s="543"/>
      <c r="M1703" s="544"/>
      <c r="N1703" s="543"/>
      <c r="O1703" s="544"/>
      <c r="P1703" s="544"/>
      <c r="Q1703" s="544"/>
      <c r="R1703" s="544"/>
      <c r="S1703" s="544"/>
    </row>
    <row r="1704" ht="14.25" customHeight="1">
      <c r="A1704" s="542"/>
      <c r="B1704" s="543"/>
      <c r="C1704" s="543"/>
      <c r="D1704" s="544"/>
      <c r="E1704" s="544"/>
      <c r="F1704" s="544"/>
      <c r="G1704" s="544"/>
      <c r="H1704" s="544"/>
      <c r="I1704" s="543"/>
      <c r="J1704" s="543"/>
      <c r="K1704" s="544"/>
      <c r="L1704" s="543"/>
      <c r="M1704" s="544"/>
      <c r="N1704" s="543"/>
      <c r="O1704" s="544"/>
      <c r="P1704" s="544"/>
      <c r="Q1704" s="544"/>
      <c r="R1704" s="544"/>
      <c r="S1704" s="544"/>
    </row>
    <row r="1705" ht="14.25" customHeight="1">
      <c r="A1705" s="542"/>
      <c r="B1705" s="543"/>
      <c r="C1705" s="543"/>
      <c r="D1705" s="544"/>
      <c r="E1705" s="544"/>
      <c r="F1705" s="544"/>
      <c r="G1705" s="544"/>
      <c r="H1705" s="544"/>
      <c r="I1705" s="543"/>
      <c r="J1705" s="543"/>
      <c r="K1705" s="544"/>
      <c r="L1705" s="543"/>
      <c r="M1705" s="544"/>
      <c r="N1705" s="543"/>
      <c r="O1705" s="544"/>
      <c r="P1705" s="544"/>
      <c r="Q1705" s="544"/>
      <c r="R1705" s="544"/>
      <c r="S1705" s="544"/>
    </row>
    <row r="1706" ht="14.25" customHeight="1">
      <c r="A1706" s="542"/>
      <c r="B1706" s="543"/>
      <c r="C1706" s="543"/>
      <c r="D1706" s="544"/>
      <c r="E1706" s="544"/>
      <c r="F1706" s="544"/>
      <c r="G1706" s="544"/>
      <c r="H1706" s="544"/>
      <c r="I1706" s="543"/>
      <c r="J1706" s="543"/>
      <c r="K1706" s="544"/>
      <c r="L1706" s="543"/>
      <c r="M1706" s="544"/>
      <c r="N1706" s="543"/>
      <c r="O1706" s="544"/>
      <c r="P1706" s="544"/>
      <c r="Q1706" s="544"/>
      <c r="R1706" s="544"/>
      <c r="S1706" s="544"/>
    </row>
    <row r="1707" ht="14.25" customHeight="1">
      <c r="A1707" s="542"/>
      <c r="B1707" s="543"/>
      <c r="C1707" s="543"/>
      <c r="D1707" s="544"/>
      <c r="E1707" s="544"/>
      <c r="F1707" s="544"/>
      <c r="G1707" s="544"/>
      <c r="H1707" s="544"/>
      <c r="I1707" s="543"/>
      <c r="J1707" s="543"/>
      <c r="K1707" s="544"/>
      <c r="L1707" s="543"/>
      <c r="M1707" s="544"/>
      <c r="N1707" s="543"/>
      <c r="O1707" s="544"/>
      <c r="P1707" s="544"/>
      <c r="Q1707" s="544"/>
      <c r="R1707" s="544"/>
      <c r="S1707" s="544"/>
    </row>
    <row r="1708" ht="14.25" customHeight="1">
      <c r="A1708" s="542"/>
      <c r="B1708" s="543"/>
      <c r="C1708" s="543"/>
      <c r="D1708" s="544"/>
      <c r="E1708" s="544"/>
      <c r="F1708" s="544"/>
      <c r="G1708" s="544"/>
      <c r="H1708" s="544"/>
      <c r="I1708" s="543"/>
      <c r="J1708" s="543"/>
      <c r="K1708" s="544"/>
      <c r="L1708" s="543"/>
      <c r="M1708" s="544"/>
      <c r="N1708" s="543"/>
      <c r="O1708" s="544"/>
      <c r="P1708" s="544"/>
      <c r="Q1708" s="544"/>
      <c r="R1708" s="544"/>
      <c r="S1708" s="544"/>
    </row>
    <row r="1709" ht="14.25" customHeight="1">
      <c r="A1709" s="542"/>
      <c r="B1709" s="543"/>
      <c r="C1709" s="543"/>
      <c r="D1709" s="544"/>
      <c r="E1709" s="544"/>
      <c r="F1709" s="544"/>
      <c r="G1709" s="544"/>
      <c r="H1709" s="544"/>
      <c r="I1709" s="543"/>
      <c r="J1709" s="543"/>
      <c r="K1709" s="544"/>
      <c r="L1709" s="543"/>
      <c r="M1709" s="544"/>
      <c r="N1709" s="543"/>
      <c r="O1709" s="544"/>
      <c r="P1709" s="544"/>
      <c r="Q1709" s="544"/>
      <c r="R1709" s="544"/>
      <c r="S1709" s="544"/>
    </row>
    <row r="1710" ht="14.25" customHeight="1">
      <c r="A1710" s="542"/>
      <c r="B1710" s="543"/>
      <c r="C1710" s="543"/>
      <c r="D1710" s="544"/>
      <c r="E1710" s="544"/>
      <c r="F1710" s="544"/>
      <c r="G1710" s="544"/>
      <c r="H1710" s="544"/>
      <c r="I1710" s="543"/>
      <c r="J1710" s="543"/>
      <c r="K1710" s="544"/>
      <c r="L1710" s="543"/>
      <c r="M1710" s="544"/>
      <c r="N1710" s="543"/>
      <c r="O1710" s="544"/>
      <c r="P1710" s="544"/>
      <c r="Q1710" s="544"/>
      <c r="R1710" s="544"/>
      <c r="S1710" s="544"/>
    </row>
    <row r="1711" ht="14.25" customHeight="1">
      <c r="A1711" s="542"/>
      <c r="B1711" s="543"/>
      <c r="C1711" s="543"/>
      <c r="D1711" s="544"/>
      <c r="E1711" s="544"/>
      <c r="F1711" s="544"/>
      <c r="G1711" s="544"/>
      <c r="H1711" s="544"/>
      <c r="I1711" s="543"/>
      <c r="J1711" s="543"/>
      <c r="K1711" s="544"/>
      <c r="L1711" s="543"/>
      <c r="M1711" s="544"/>
      <c r="N1711" s="543"/>
      <c r="O1711" s="544"/>
      <c r="P1711" s="544"/>
      <c r="Q1711" s="544"/>
      <c r="R1711" s="544"/>
      <c r="S1711" s="544"/>
    </row>
    <row r="1712" ht="14.25" customHeight="1">
      <c r="A1712" s="542"/>
      <c r="B1712" s="543"/>
      <c r="C1712" s="543"/>
      <c r="D1712" s="544"/>
      <c r="E1712" s="544"/>
      <c r="F1712" s="544"/>
      <c r="G1712" s="544"/>
      <c r="H1712" s="544"/>
      <c r="I1712" s="543"/>
      <c r="J1712" s="543"/>
      <c r="K1712" s="544"/>
      <c r="L1712" s="543"/>
      <c r="M1712" s="544"/>
      <c r="N1712" s="543"/>
      <c r="O1712" s="544"/>
      <c r="P1712" s="544"/>
      <c r="Q1712" s="544"/>
      <c r="R1712" s="544"/>
      <c r="S1712" s="544"/>
    </row>
    <row r="1713" ht="14.25" customHeight="1">
      <c r="A1713" s="542"/>
      <c r="B1713" s="543"/>
      <c r="C1713" s="543"/>
      <c r="D1713" s="544"/>
      <c r="E1713" s="544"/>
      <c r="F1713" s="544"/>
      <c r="G1713" s="544"/>
      <c r="H1713" s="544"/>
      <c r="I1713" s="543"/>
      <c r="J1713" s="543"/>
      <c r="K1713" s="544"/>
      <c r="L1713" s="543"/>
      <c r="M1713" s="544"/>
      <c r="N1713" s="543"/>
      <c r="O1713" s="544"/>
      <c r="P1713" s="544"/>
      <c r="Q1713" s="544"/>
      <c r="R1713" s="544"/>
      <c r="S1713" s="544"/>
    </row>
    <row r="1714" ht="14.25" customHeight="1">
      <c r="A1714" s="542"/>
      <c r="B1714" s="543"/>
      <c r="C1714" s="543"/>
      <c r="D1714" s="544"/>
      <c r="E1714" s="544"/>
      <c r="F1714" s="544"/>
      <c r="G1714" s="544"/>
      <c r="H1714" s="544"/>
      <c r="I1714" s="543"/>
      <c r="J1714" s="543"/>
      <c r="K1714" s="544"/>
      <c r="L1714" s="543"/>
      <c r="M1714" s="544"/>
      <c r="N1714" s="543"/>
      <c r="O1714" s="544"/>
      <c r="P1714" s="544"/>
      <c r="Q1714" s="544"/>
      <c r="R1714" s="544"/>
      <c r="S1714" s="544"/>
    </row>
    <row r="1715" ht="14.25" customHeight="1">
      <c r="A1715" s="542"/>
      <c r="B1715" s="543"/>
      <c r="C1715" s="543"/>
      <c r="D1715" s="544"/>
      <c r="E1715" s="544"/>
      <c r="F1715" s="544"/>
      <c r="G1715" s="544"/>
      <c r="H1715" s="544"/>
      <c r="I1715" s="543"/>
      <c r="J1715" s="543"/>
      <c r="K1715" s="544"/>
      <c r="L1715" s="543"/>
      <c r="M1715" s="544"/>
      <c r="N1715" s="543"/>
      <c r="O1715" s="544"/>
      <c r="P1715" s="544"/>
      <c r="Q1715" s="544"/>
      <c r="R1715" s="544"/>
      <c r="S1715" s="544"/>
    </row>
    <row r="1716" ht="14.25" customHeight="1">
      <c r="A1716" s="542"/>
      <c r="B1716" s="543"/>
      <c r="C1716" s="543"/>
      <c r="D1716" s="544"/>
      <c r="E1716" s="544"/>
      <c r="F1716" s="544"/>
      <c r="G1716" s="544"/>
      <c r="H1716" s="544"/>
      <c r="I1716" s="543"/>
      <c r="J1716" s="543"/>
      <c r="K1716" s="544"/>
      <c r="L1716" s="543"/>
      <c r="M1716" s="544"/>
      <c r="N1716" s="543"/>
      <c r="O1716" s="544"/>
      <c r="P1716" s="544"/>
      <c r="Q1716" s="544"/>
      <c r="R1716" s="544"/>
      <c r="S1716" s="544"/>
    </row>
    <row r="1717" ht="14.25" customHeight="1">
      <c r="A1717" s="542"/>
      <c r="B1717" s="543"/>
      <c r="C1717" s="543"/>
      <c r="D1717" s="544"/>
      <c r="E1717" s="544"/>
      <c r="F1717" s="544"/>
      <c r="G1717" s="544"/>
      <c r="H1717" s="544"/>
      <c r="I1717" s="543"/>
      <c r="J1717" s="543"/>
      <c r="K1717" s="544"/>
      <c r="L1717" s="543"/>
      <c r="M1717" s="544"/>
      <c r="N1717" s="543"/>
      <c r="O1717" s="544"/>
      <c r="P1717" s="544"/>
      <c r="Q1717" s="544"/>
      <c r="R1717" s="544"/>
      <c r="S1717" s="544"/>
    </row>
    <row r="1718" ht="14.25" customHeight="1">
      <c r="A1718" s="542"/>
      <c r="B1718" s="543"/>
      <c r="C1718" s="543"/>
      <c r="D1718" s="544"/>
      <c r="E1718" s="544"/>
      <c r="F1718" s="544"/>
      <c r="G1718" s="544"/>
      <c r="H1718" s="544"/>
      <c r="I1718" s="543"/>
      <c r="J1718" s="543"/>
      <c r="K1718" s="544"/>
      <c r="L1718" s="543"/>
      <c r="M1718" s="544"/>
      <c r="N1718" s="543"/>
      <c r="O1718" s="544"/>
      <c r="P1718" s="544"/>
      <c r="Q1718" s="544"/>
      <c r="R1718" s="544"/>
      <c r="S1718" s="544"/>
    </row>
    <row r="1719" ht="14.25" customHeight="1">
      <c r="A1719" s="542"/>
      <c r="B1719" s="543"/>
      <c r="C1719" s="543"/>
      <c r="D1719" s="544"/>
      <c r="E1719" s="544"/>
      <c r="F1719" s="544"/>
      <c r="G1719" s="544"/>
      <c r="H1719" s="544"/>
      <c r="I1719" s="543"/>
      <c r="J1719" s="543"/>
      <c r="K1719" s="544"/>
      <c r="L1719" s="543"/>
      <c r="M1719" s="544"/>
      <c r="N1719" s="543"/>
      <c r="O1719" s="544"/>
      <c r="P1719" s="544"/>
      <c r="Q1719" s="544"/>
      <c r="R1719" s="544"/>
      <c r="S1719" s="544"/>
    </row>
    <row r="1720" ht="14.25" customHeight="1">
      <c r="A1720" s="542"/>
      <c r="B1720" s="543"/>
      <c r="C1720" s="543"/>
      <c r="D1720" s="544"/>
      <c r="E1720" s="544"/>
      <c r="F1720" s="544"/>
      <c r="G1720" s="544"/>
      <c r="H1720" s="544"/>
      <c r="I1720" s="543"/>
      <c r="J1720" s="543"/>
      <c r="K1720" s="544"/>
      <c r="L1720" s="543"/>
      <c r="M1720" s="544"/>
      <c r="N1720" s="543"/>
      <c r="O1720" s="544"/>
      <c r="P1720" s="544"/>
      <c r="Q1720" s="544"/>
      <c r="R1720" s="544"/>
      <c r="S1720" s="544"/>
    </row>
    <row r="1721" ht="14.25" customHeight="1">
      <c r="A1721" s="542"/>
      <c r="B1721" s="543"/>
      <c r="C1721" s="543"/>
      <c r="D1721" s="544"/>
      <c r="E1721" s="544"/>
      <c r="F1721" s="544"/>
      <c r="G1721" s="544"/>
      <c r="H1721" s="544"/>
      <c r="I1721" s="543"/>
      <c r="J1721" s="543"/>
      <c r="K1721" s="544"/>
      <c r="L1721" s="543"/>
      <c r="M1721" s="544"/>
      <c r="N1721" s="543"/>
      <c r="O1721" s="544"/>
      <c r="P1721" s="544"/>
      <c r="Q1721" s="544"/>
      <c r="R1721" s="544"/>
      <c r="S1721" s="544"/>
    </row>
    <row r="1722" ht="14.25" customHeight="1">
      <c r="A1722" s="542"/>
      <c r="B1722" s="543"/>
      <c r="C1722" s="543"/>
      <c r="D1722" s="544"/>
      <c r="E1722" s="544"/>
      <c r="F1722" s="544"/>
      <c r="G1722" s="544"/>
      <c r="H1722" s="544"/>
      <c r="I1722" s="543"/>
      <c r="J1722" s="543"/>
      <c r="K1722" s="544"/>
      <c r="L1722" s="543"/>
      <c r="M1722" s="544"/>
      <c r="N1722" s="543"/>
      <c r="O1722" s="544"/>
      <c r="P1722" s="544"/>
      <c r="Q1722" s="544"/>
      <c r="R1722" s="544"/>
      <c r="S1722" s="544"/>
    </row>
    <row r="1723" ht="14.25" customHeight="1">
      <c r="A1723" s="542"/>
      <c r="B1723" s="543"/>
      <c r="C1723" s="543"/>
      <c r="D1723" s="544"/>
      <c r="E1723" s="544"/>
      <c r="F1723" s="544"/>
      <c r="G1723" s="544"/>
      <c r="H1723" s="544"/>
      <c r="I1723" s="543"/>
      <c r="J1723" s="543"/>
      <c r="K1723" s="544"/>
      <c r="L1723" s="543"/>
      <c r="M1723" s="544"/>
      <c r="N1723" s="543"/>
      <c r="O1723" s="544"/>
      <c r="P1723" s="544"/>
      <c r="Q1723" s="544"/>
      <c r="R1723" s="544"/>
      <c r="S1723" s="544"/>
    </row>
    <row r="1724" ht="14.25" customHeight="1">
      <c r="A1724" s="542"/>
      <c r="B1724" s="543"/>
      <c r="C1724" s="543"/>
      <c r="D1724" s="544"/>
      <c r="E1724" s="544"/>
      <c r="F1724" s="544"/>
      <c r="G1724" s="544"/>
      <c r="H1724" s="544"/>
      <c r="I1724" s="543"/>
      <c r="J1724" s="543"/>
      <c r="K1724" s="544"/>
      <c r="L1724" s="543"/>
      <c r="M1724" s="544"/>
      <c r="N1724" s="543"/>
      <c r="O1724" s="544"/>
      <c r="P1724" s="544"/>
      <c r="Q1724" s="544"/>
      <c r="R1724" s="544"/>
      <c r="S1724" s="544"/>
    </row>
    <row r="1725" ht="14.25" customHeight="1">
      <c r="A1725" s="542"/>
      <c r="B1725" s="543"/>
      <c r="C1725" s="543"/>
      <c r="D1725" s="544"/>
      <c r="E1725" s="544"/>
      <c r="F1725" s="544"/>
      <c r="G1725" s="544"/>
      <c r="H1725" s="544"/>
      <c r="I1725" s="543"/>
      <c r="J1725" s="543"/>
      <c r="K1725" s="544"/>
      <c r="L1725" s="543"/>
      <c r="M1725" s="544"/>
      <c r="N1725" s="543"/>
      <c r="O1725" s="544"/>
      <c r="P1725" s="544"/>
      <c r="Q1725" s="544"/>
      <c r="R1725" s="544"/>
      <c r="S1725" s="544"/>
    </row>
    <row r="1726" ht="14.25" customHeight="1">
      <c r="A1726" s="542"/>
      <c r="B1726" s="543"/>
      <c r="C1726" s="543"/>
      <c r="D1726" s="544"/>
      <c r="E1726" s="544"/>
      <c r="F1726" s="544"/>
      <c r="G1726" s="544"/>
      <c r="H1726" s="544"/>
      <c r="I1726" s="543"/>
      <c r="J1726" s="543"/>
      <c r="K1726" s="544"/>
      <c r="L1726" s="543"/>
      <c r="M1726" s="544"/>
      <c r="N1726" s="543"/>
      <c r="O1726" s="544"/>
      <c r="P1726" s="544"/>
      <c r="Q1726" s="544"/>
      <c r="R1726" s="544"/>
      <c r="S1726" s="544"/>
    </row>
    <row r="1727" ht="14.25" customHeight="1">
      <c r="A1727" s="542"/>
      <c r="B1727" s="543"/>
      <c r="C1727" s="543"/>
      <c r="D1727" s="544"/>
      <c r="E1727" s="544"/>
      <c r="F1727" s="544"/>
      <c r="G1727" s="544"/>
      <c r="H1727" s="544"/>
      <c r="I1727" s="543"/>
      <c r="J1727" s="543"/>
      <c r="K1727" s="544"/>
      <c r="L1727" s="543"/>
      <c r="M1727" s="544"/>
      <c r="N1727" s="543"/>
      <c r="O1727" s="544"/>
      <c r="P1727" s="544"/>
      <c r="Q1727" s="544"/>
      <c r="R1727" s="544"/>
      <c r="S1727" s="544"/>
    </row>
    <row r="1728" ht="14.25" customHeight="1">
      <c r="A1728" s="542"/>
      <c r="B1728" s="543"/>
      <c r="C1728" s="543"/>
      <c r="D1728" s="544"/>
      <c r="E1728" s="544"/>
      <c r="F1728" s="544"/>
      <c r="G1728" s="544"/>
      <c r="H1728" s="544"/>
      <c r="I1728" s="543"/>
      <c r="J1728" s="543"/>
      <c r="K1728" s="544"/>
      <c r="L1728" s="543"/>
      <c r="M1728" s="544"/>
      <c r="N1728" s="543"/>
      <c r="O1728" s="544"/>
      <c r="P1728" s="544"/>
      <c r="Q1728" s="544"/>
      <c r="R1728" s="544"/>
      <c r="S1728" s="544"/>
    </row>
    <row r="1729" ht="14.25" customHeight="1">
      <c r="A1729" s="542"/>
      <c r="B1729" s="543"/>
      <c r="C1729" s="543"/>
      <c r="D1729" s="544"/>
      <c r="E1729" s="544"/>
      <c r="F1729" s="544"/>
      <c r="G1729" s="544"/>
      <c r="H1729" s="544"/>
      <c r="I1729" s="543"/>
      <c r="J1729" s="543"/>
      <c r="K1729" s="544"/>
      <c r="L1729" s="543"/>
      <c r="M1729" s="544"/>
      <c r="N1729" s="543"/>
      <c r="O1729" s="544"/>
      <c r="P1729" s="544"/>
      <c r="Q1729" s="544"/>
      <c r="R1729" s="544"/>
      <c r="S1729" s="544"/>
    </row>
    <row r="1730" ht="14.25" customHeight="1">
      <c r="A1730" s="542"/>
      <c r="B1730" s="543"/>
      <c r="C1730" s="543"/>
      <c r="D1730" s="544"/>
      <c r="E1730" s="544"/>
      <c r="F1730" s="544"/>
      <c r="G1730" s="544"/>
      <c r="H1730" s="544"/>
      <c r="I1730" s="543"/>
      <c r="J1730" s="543"/>
      <c r="K1730" s="544"/>
      <c r="L1730" s="543"/>
      <c r="M1730" s="544"/>
      <c r="N1730" s="543"/>
      <c r="O1730" s="544"/>
      <c r="P1730" s="544"/>
      <c r="Q1730" s="544"/>
      <c r="R1730" s="544"/>
      <c r="S1730" s="544"/>
    </row>
    <row r="1731" ht="14.25" customHeight="1">
      <c r="A1731" s="542"/>
      <c r="B1731" s="543"/>
      <c r="C1731" s="543"/>
      <c r="D1731" s="544"/>
      <c r="E1731" s="544"/>
      <c r="F1731" s="544"/>
      <c r="G1731" s="544"/>
      <c r="H1731" s="544"/>
      <c r="I1731" s="543"/>
      <c r="J1731" s="543"/>
      <c r="K1731" s="544"/>
      <c r="L1731" s="543"/>
      <c r="M1731" s="544"/>
      <c r="N1731" s="543"/>
      <c r="O1731" s="544"/>
      <c r="P1731" s="544"/>
      <c r="Q1731" s="544"/>
      <c r="R1731" s="544"/>
      <c r="S1731" s="544"/>
    </row>
    <row r="1732" ht="14.25" customHeight="1">
      <c r="A1732" s="542"/>
      <c r="B1732" s="543"/>
      <c r="C1732" s="543"/>
      <c r="D1732" s="544"/>
      <c r="E1732" s="544"/>
      <c r="F1732" s="544"/>
      <c r="G1732" s="544"/>
      <c r="H1732" s="544"/>
      <c r="I1732" s="543"/>
      <c r="J1732" s="543"/>
      <c r="K1732" s="544"/>
      <c r="L1732" s="543"/>
      <c r="M1732" s="544"/>
      <c r="N1732" s="543"/>
      <c r="O1732" s="544"/>
      <c r="P1732" s="544"/>
      <c r="Q1732" s="544"/>
      <c r="R1732" s="544"/>
      <c r="S1732" s="544"/>
    </row>
    <row r="1733" ht="14.25" customHeight="1">
      <c r="A1733" s="542"/>
      <c r="B1733" s="543"/>
      <c r="C1733" s="543"/>
      <c r="D1733" s="544"/>
      <c r="E1733" s="544"/>
      <c r="F1733" s="544"/>
      <c r="G1733" s="544"/>
      <c r="H1733" s="544"/>
      <c r="I1733" s="543"/>
      <c r="J1733" s="543"/>
      <c r="K1733" s="544"/>
      <c r="L1733" s="543"/>
      <c r="M1733" s="544"/>
      <c r="N1733" s="543"/>
      <c r="O1733" s="544"/>
      <c r="P1733" s="544"/>
      <c r="Q1733" s="544"/>
      <c r="R1733" s="544"/>
      <c r="S1733" s="544"/>
    </row>
    <row r="1734" ht="14.25" customHeight="1">
      <c r="A1734" s="542"/>
      <c r="B1734" s="543"/>
      <c r="C1734" s="543"/>
      <c r="D1734" s="544"/>
      <c r="E1734" s="544"/>
      <c r="F1734" s="544"/>
      <c r="G1734" s="544"/>
      <c r="H1734" s="544"/>
      <c r="I1734" s="543"/>
      <c r="J1734" s="543"/>
      <c r="K1734" s="544"/>
      <c r="L1734" s="543"/>
      <c r="M1734" s="544"/>
      <c r="N1734" s="543"/>
      <c r="O1734" s="544"/>
      <c r="P1734" s="544"/>
      <c r="Q1734" s="544"/>
      <c r="R1734" s="544"/>
      <c r="S1734" s="544"/>
    </row>
    <row r="1735" ht="14.25" customHeight="1">
      <c r="A1735" s="542"/>
      <c r="B1735" s="543"/>
      <c r="C1735" s="543"/>
      <c r="D1735" s="544"/>
      <c r="E1735" s="544"/>
      <c r="F1735" s="544"/>
      <c r="G1735" s="544"/>
      <c r="H1735" s="544"/>
      <c r="I1735" s="543"/>
      <c r="J1735" s="543"/>
      <c r="K1735" s="544"/>
      <c r="L1735" s="543"/>
      <c r="M1735" s="544"/>
      <c r="N1735" s="543"/>
      <c r="O1735" s="544"/>
      <c r="P1735" s="544"/>
      <c r="Q1735" s="544"/>
      <c r="R1735" s="544"/>
      <c r="S1735" s="544"/>
    </row>
    <row r="1736" ht="14.25" customHeight="1">
      <c r="A1736" s="542"/>
      <c r="B1736" s="543"/>
      <c r="C1736" s="543"/>
      <c r="D1736" s="544"/>
      <c r="E1736" s="544"/>
      <c r="F1736" s="544"/>
      <c r="G1736" s="544"/>
      <c r="H1736" s="544"/>
      <c r="I1736" s="543"/>
      <c r="J1736" s="543"/>
      <c r="K1736" s="544"/>
      <c r="L1736" s="543"/>
      <c r="M1736" s="544"/>
      <c r="N1736" s="543"/>
      <c r="O1736" s="544"/>
      <c r="P1736" s="544"/>
      <c r="Q1736" s="544"/>
      <c r="R1736" s="544"/>
      <c r="S1736" s="544"/>
    </row>
    <row r="1737" ht="14.25" customHeight="1">
      <c r="A1737" s="542"/>
      <c r="B1737" s="543"/>
      <c r="C1737" s="543"/>
      <c r="D1737" s="544"/>
      <c r="E1737" s="544"/>
      <c r="F1737" s="544"/>
      <c r="G1737" s="544"/>
      <c r="H1737" s="544"/>
      <c r="I1737" s="543"/>
      <c r="J1737" s="543"/>
      <c r="K1737" s="544"/>
      <c r="L1737" s="543"/>
      <c r="M1737" s="544"/>
      <c r="N1737" s="543"/>
      <c r="O1737" s="544"/>
      <c r="P1737" s="544"/>
      <c r="Q1737" s="544"/>
      <c r="R1737" s="544"/>
      <c r="S1737" s="544"/>
    </row>
    <row r="1738" ht="14.25" customHeight="1">
      <c r="A1738" s="542"/>
      <c r="B1738" s="543"/>
      <c r="C1738" s="543"/>
      <c r="D1738" s="544"/>
      <c r="E1738" s="544"/>
      <c r="F1738" s="544"/>
      <c r="G1738" s="544"/>
      <c r="H1738" s="544"/>
      <c r="I1738" s="543"/>
      <c r="J1738" s="543"/>
      <c r="K1738" s="544"/>
      <c r="L1738" s="543"/>
      <c r="M1738" s="544"/>
      <c r="N1738" s="543"/>
      <c r="O1738" s="544"/>
      <c r="P1738" s="544"/>
      <c r="Q1738" s="544"/>
      <c r="R1738" s="544"/>
      <c r="S1738" s="544"/>
    </row>
    <row r="1739" ht="14.25" customHeight="1">
      <c r="A1739" s="542"/>
      <c r="B1739" s="543"/>
      <c r="C1739" s="543"/>
      <c r="D1739" s="544"/>
      <c r="E1739" s="544"/>
      <c r="F1739" s="544"/>
      <c r="G1739" s="544"/>
      <c r="H1739" s="544"/>
      <c r="I1739" s="543"/>
      <c r="J1739" s="543"/>
      <c r="K1739" s="544"/>
      <c r="L1739" s="543"/>
      <c r="M1739" s="544"/>
      <c r="N1739" s="543"/>
      <c r="O1739" s="544"/>
      <c r="P1739" s="544"/>
      <c r="Q1739" s="544"/>
      <c r="R1739" s="544"/>
      <c r="S1739" s="544"/>
    </row>
    <row r="1740" ht="14.25" customHeight="1">
      <c r="A1740" s="542"/>
      <c r="B1740" s="543"/>
      <c r="C1740" s="543"/>
      <c r="D1740" s="544"/>
      <c r="E1740" s="544"/>
      <c r="F1740" s="544"/>
      <c r="G1740" s="544"/>
      <c r="H1740" s="544"/>
      <c r="I1740" s="543"/>
      <c r="J1740" s="543"/>
      <c r="K1740" s="544"/>
      <c r="L1740" s="543"/>
      <c r="M1740" s="544"/>
      <c r="N1740" s="543"/>
      <c r="O1740" s="544"/>
      <c r="P1740" s="544"/>
      <c r="Q1740" s="544"/>
      <c r="R1740" s="544"/>
      <c r="S1740" s="544"/>
    </row>
    <row r="1741" ht="14.25" customHeight="1">
      <c r="A1741" s="542"/>
      <c r="B1741" s="543"/>
      <c r="C1741" s="543"/>
      <c r="D1741" s="544"/>
      <c r="E1741" s="544"/>
      <c r="F1741" s="544"/>
      <c r="G1741" s="544"/>
      <c r="H1741" s="544"/>
      <c r="I1741" s="543"/>
      <c r="J1741" s="543"/>
      <c r="K1741" s="544"/>
      <c r="L1741" s="543"/>
      <c r="M1741" s="544"/>
      <c r="N1741" s="543"/>
      <c r="O1741" s="544"/>
      <c r="P1741" s="544"/>
      <c r="Q1741" s="544"/>
      <c r="R1741" s="544"/>
      <c r="S1741" s="544"/>
    </row>
    <row r="1742" ht="14.25" customHeight="1">
      <c r="A1742" s="542"/>
      <c r="B1742" s="543"/>
      <c r="C1742" s="543"/>
      <c r="D1742" s="544"/>
      <c r="E1742" s="544"/>
      <c r="F1742" s="544"/>
      <c r="G1742" s="544"/>
      <c r="H1742" s="544"/>
      <c r="I1742" s="543"/>
      <c r="J1742" s="543"/>
      <c r="K1742" s="544"/>
      <c r="L1742" s="543"/>
      <c r="M1742" s="544"/>
      <c r="N1742" s="543"/>
      <c r="O1742" s="544"/>
      <c r="P1742" s="544"/>
      <c r="Q1742" s="544"/>
      <c r="R1742" s="544"/>
      <c r="S1742" s="544"/>
    </row>
    <row r="1743" ht="14.25" customHeight="1">
      <c r="A1743" s="542"/>
      <c r="B1743" s="543"/>
      <c r="C1743" s="543"/>
      <c r="D1743" s="544"/>
      <c r="E1743" s="544"/>
      <c r="F1743" s="544"/>
      <c r="G1743" s="544"/>
      <c r="H1743" s="544"/>
      <c r="I1743" s="543"/>
      <c r="J1743" s="543"/>
      <c r="K1743" s="544"/>
      <c r="L1743" s="543"/>
      <c r="M1743" s="544"/>
      <c r="N1743" s="543"/>
      <c r="O1743" s="544"/>
      <c r="P1743" s="544"/>
      <c r="Q1743" s="544"/>
      <c r="R1743" s="544"/>
      <c r="S1743" s="544"/>
    </row>
    <row r="1744" ht="14.25" customHeight="1">
      <c r="A1744" s="542"/>
      <c r="B1744" s="543"/>
      <c r="C1744" s="543"/>
      <c r="D1744" s="544"/>
      <c r="E1744" s="544"/>
      <c r="F1744" s="544"/>
      <c r="G1744" s="544"/>
      <c r="H1744" s="544"/>
      <c r="I1744" s="543"/>
      <c r="J1744" s="543"/>
      <c r="K1744" s="544"/>
      <c r="L1744" s="543"/>
      <c r="M1744" s="544"/>
      <c r="N1744" s="543"/>
      <c r="O1744" s="544"/>
      <c r="P1744" s="544"/>
      <c r="Q1744" s="544"/>
      <c r="R1744" s="544"/>
      <c r="S1744" s="544"/>
    </row>
    <row r="1745" ht="14.25" customHeight="1">
      <c r="A1745" s="542"/>
      <c r="B1745" s="543"/>
      <c r="C1745" s="543"/>
      <c r="D1745" s="544"/>
      <c r="E1745" s="544"/>
      <c r="F1745" s="544"/>
      <c r="G1745" s="544"/>
      <c r="H1745" s="544"/>
      <c r="I1745" s="543"/>
      <c r="J1745" s="543"/>
      <c r="K1745" s="544"/>
      <c r="L1745" s="543"/>
      <c r="M1745" s="544"/>
      <c r="N1745" s="543"/>
      <c r="O1745" s="544"/>
      <c r="P1745" s="544"/>
      <c r="Q1745" s="544"/>
      <c r="R1745" s="544"/>
      <c r="S1745" s="544"/>
    </row>
    <row r="1746" ht="14.25" customHeight="1">
      <c r="A1746" s="542"/>
      <c r="B1746" s="543"/>
      <c r="C1746" s="543"/>
      <c r="D1746" s="544"/>
      <c r="E1746" s="544"/>
      <c r="F1746" s="544"/>
      <c r="G1746" s="544"/>
      <c r="H1746" s="544"/>
      <c r="I1746" s="543"/>
      <c r="J1746" s="543"/>
      <c r="K1746" s="544"/>
      <c r="L1746" s="543"/>
      <c r="M1746" s="544"/>
      <c r="N1746" s="543"/>
      <c r="O1746" s="544"/>
      <c r="P1746" s="544"/>
      <c r="Q1746" s="544"/>
      <c r="R1746" s="544"/>
      <c r="S1746" s="544"/>
    </row>
    <row r="1747" ht="14.25" customHeight="1">
      <c r="A1747" s="542"/>
      <c r="B1747" s="543"/>
      <c r="C1747" s="543"/>
      <c r="D1747" s="544"/>
      <c r="E1747" s="544"/>
      <c r="F1747" s="544"/>
      <c r="G1747" s="544"/>
      <c r="H1747" s="544"/>
      <c r="I1747" s="543"/>
      <c r="J1747" s="543"/>
      <c r="K1747" s="544"/>
      <c r="L1747" s="543"/>
      <c r="M1747" s="544"/>
      <c r="N1747" s="543"/>
      <c r="O1747" s="544"/>
      <c r="P1747" s="544"/>
      <c r="Q1747" s="544"/>
      <c r="R1747" s="544"/>
      <c r="S1747" s="544"/>
    </row>
    <row r="1748" ht="14.25" customHeight="1">
      <c r="A1748" s="542"/>
      <c r="B1748" s="543"/>
      <c r="C1748" s="543"/>
      <c r="D1748" s="544"/>
      <c r="E1748" s="544"/>
      <c r="F1748" s="544"/>
      <c r="G1748" s="544"/>
      <c r="H1748" s="544"/>
      <c r="I1748" s="543"/>
      <c r="J1748" s="543"/>
      <c r="K1748" s="544"/>
      <c r="L1748" s="543"/>
      <c r="M1748" s="544"/>
      <c r="N1748" s="543"/>
      <c r="O1748" s="544"/>
      <c r="P1748" s="544"/>
      <c r="Q1748" s="544"/>
      <c r="R1748" s="544"/>
      <c r="S1748" s="544"/>
    </row>
    <row r="1749" ht="14.25" customHeight="1">
      <c r="A1749" s="542"/>
      <c r="B1749" s="543"/>
      <c r="C1749" s="543"/>
      <c r="D1749" s="544"/>
      <c r="E1749" s="544"/>
      <c r="F1749" s="544"/>
      <c r="G1749" s="544"/>
      <c r="H1749" s="544"/>
      <c r="I1749" s="543"/>
      <c r="J1749" s="543"/>
      <c r="K1749" s="544"/>
      <c r="L1749" s="543"/>
      <c r="M1749" s="544"/>
      <c r="N1749" s="543"/>
      <c r="O1749" s="544"/>
      <c r="P1749" s="544"/>
      <c r="Q1749" s="544"/>
      <c r="R1749" s="544"/>
      <c r="S1749" s="544"/>
    </row>
    <row r="1750" ht="14.25" customHeight="1">
      <c r="A1750" s="542"/>
      <c r="B1750" s="543"/>
      <c r="C1750" s="543"/>
      <c r="D1750" s="544"/>
      <c r="E1750" s="544"/>
      <c r="F1750" s="544"/>
      <c r="G1750" s="544"/>
      <c r="H1750" s="544"/>
      <c r="I1750" s="543"/>
      <c r="J1750" s="543"/>
      <c r="K1750" s="544"/>
      <c r="L1750" s="543"/>
      <c r="M1750" s="544"/>
      <c r="N1750" s="543"/>
      <c r="O1750" s="544"/>
      <c r="P1750" s="544"/>
      <c r="Q1750" s="544"/>
      <c r="R1750" s="544"/>
      <c r="S1750" s="544"/>
    </row>
    <row r="1751" ht="14.25" customHeight="1">
      <c r="A1751" s="542"/>
      <c r="B1751" s="543"/>
      <c r="C1751" s="543"/>
      <c r="D1751" s="544"/>
      <c r="E1751" s="544"/>
      <c r="F1751" s="544"/>
      <c r="G1751" s="544"/>
      <c r="H1751" s="544"/>
      <c r="I1751" s="543"/>
      <c r="J1751" s="543"/>
      <c r="K1751" s="544"/>
      <c r="L1751" s="543"/>
      <c r="M1751" s="544"/>
      <c r="N1751" s="543"/>
      <c r="O1751" s="544"/>
      <c r="P1751" s="544"/>
      <c r="Q1751" s="544"/>
      <c r="R1751" s="544"/>
      <c r="S1751" s="544"/>
    </row>
    <row r="1752" ht="14.25" customHeight="1">
      <c r="A1752" s="542"/>
      <c r="B1752" s="543"/>
      <c r="C1752" s="543"/>
      <c r="D1752" s="544"/>
      <c r="E1752" s="544"/>
      <c r="F1752" s="544"/>
      <c r="G1752" s="544"/>
      <c r="H1752" s="544"/>
      <c r="I1752" s="543"/>
      <c r="J1752" s="543"/>
      <c r="K1752" s="544"/>
      <c r="L1752" s="543"/>
      <c r="M1752" s="544"/>
      <c r="N1752" s="543"/>
      <c r="O1752" s="544"/>
      <c r="P1752" s="544"/>
      <c r="Q1752" s="544"/>
      <c r="R1752" s="544"/>
      <c r="S1752" s="544"/>
    </row>
    <row r="1753" ht="14.25" customHeight="1">
      <c r="A1753" s="542"/>
      <c r="B1753" s="543"/>
      <c r="C1753" s="543"/>
      <c r="D1753" s="544"/>
      <c r="E1753" s="544"/>
      <c r="F1753" s="544"/>
      <c r="G1753" s="544"/>
      <c r="H1753" s="544"/>
      <c r="I1753" s="543"/>
      <c r="J1753" s="543"/>
      <c r="K1753" s="544"/>
      <c r="L1753" s="543"/>
      <c r="M1753" s="544"/>
      <c r="N1753" s="543"/>
      <c r="O1753" s="544"/>
      <c r="P1753" s="544"/>
      <c r="Q1753" s="544"/>
      <c r="R1753" s="544"/>
      <c r="S1753" s="544"/>
    </row>
    <row r="1754" ht="14.25" customHeight="1">
      <c r="A1754" s="542"/>
      <c r="B1754" s="543"/>
      <c r="C1754" s="543"/>
      <c r="D1754" s="544"/>
      <c r="E1754" s="544"/>
      <c r="F1754" s="544"/>
      <c r="G1754" s="544"/>
      <c r="H1754" s="544"/>
      <c r="I1754" s="543"/>
      <c r="J1754" s="543"/>
      <c r="K1754" s="544"/>
      <c r="L1754" s="543"/>
      <c r="M1754" s="544"/>
      <c r="N1754" s="543"/>
      <c r="O1754" s="544"/>
      <c r="P1754" s="544"/>
      <c r="Q1754" s="544"/>
      <c r="R1754" s="544"/>
      <c r="S1754" s="544"/>
    </row>
    <row r="1755" ht="14.25" customHeight="1">
      <c r="A1755" s="542"/>
      <c r="B1755" s="543"/>
      <c r="C1755" s="543"/>
      <c r="D1755" s="544"/>
      <c r="E1755" s="544"/>
      <c r="F1755" s="544"/>
      <c r="G1755" s="544"/>
      <c r="H1755" s="544"/>
      <c r="I1755" s="543"/>
      <c r="J1755" s="543"/>
      <c r="K1755" s="544"/>
      <c r="L1755" s="543"/>
      <c r="M1755" s="544"/>
      <c r="N1755" s="543"/>
      <c r="O1755" s="544"/>
      <c r="P1755" s="544"/>
      <c r="Q1755" s="544"/>
      <c r="R1755" s="544"/>
      <c r="S1755" s="544"/>
    </row>
    <row r="1756" ht="14.25" customHeight="1">
      <c r="A1756" s="542"/>
      <c r="B1756" s="543"/>
      <c r="C1756" s="543"/>
      <c r="D1756" s="544"/>
      <c r="E1756" s="544"/>
      <c r="F1756" s="544"/>
      <c r="G1756" s="544"/>
      <c r="H1756" s="544"/>
      <c r="I1756" s="543"/>
      <c r="J1756" s="543"/>
      <c r="K1756" s="544"/>
      <c r="L1756" s="543"/>
      <c r="M1756" s="544"/>
      <c r="N1756" s="543"/>
      <c r="O1756" s="544"/>
      <c r="P1756" s="544"/>
      <c r="Q1756" s="544"/>
      <c r="R1756" s="544"/>
      <c r="S1756" s="544"/>
    </row>
    <row r="1757" ht="14.25" customHeight="1">
      <c r="A1757" s="542"/>
      <c r="B1757" s="543"/>
      <c r="C1757" s="543"/>
      <c r="D1757" s="544"/>
      <c r="E1757" s="544"/>
      <c r="F1757" s="544"/>
      <c r="G1757" s="544"/>
      <c r="H1757" s="544"/>
      <c r="I1757" s="543"/>
      <c r="J1757" s="543"/>
      <c r="K1757" s="544"/>
      <c r="L1757" s="543"/>
      <c r="M1757" s="544"/>
      <c r="N1757" s="543"/>
      <c r="O1757" s="544"/>
      <c r="P1757" s="544"/>
      <c r="Q1757" s="544"/>
      <c r="R1757" s="544"/>
      <c r="S1757" s="544"/>
    </row>
    <row r="1758" ht="14.25" customHeight="1">
      <c r="A1758" s="542"/>
      <c r="B1758" s="543"/>
      <c r="C1758" s="543"/>
      <c r="D1758" s="544"/>
      <c r="E1758" s="544"/>
      <c r="F1758" s="544"/>
      <c r="G1758" s="544"/>
      <c r="H1758" s="544"/>
      <c r="I1758" s="543"/>
      <c r="J1758" s="543"/>
      <c r="K1758" s="544"/>
      <c r="L1758" s="543"/>
      <c r="M1758" s="544"/>
      <c r="N1758" s="543"/>
      <c r="O1758" s="544"/>
      <c r="P1758" s="544"/>
      <c r="Q1758" s="544"/>
      <c r="R1758" s="544"/>
      <c r="S1758" s="544"/>
    </row>
    <row r="1759" ht="14.25" customHeight="1">
      <c r="A1759" s="542"/>
      <c r="B1759" s="543"/>
      <c r="C1759" s="543"/>
      <c r="D1759" s="544"/>
      <c r="E1759" s="544"/>
      <c r="F1759" s="544"/>
      <c r="G1759" s="544"/>
      <c r="H1759" s="544"/>
      <c r="I1759" s="543"/>
      <c r="J1759" s="543"/>
      <c r="K1759" s="544"/>
      <c r="L1759" s="543"/>
      <c r="M1759" s="544"/>
      <c r="N1759" s="543"/>
      <c r="O1759" s="544"/>
      <c r="P1759" s="544"/>
      <c r="Q1759" s="544"/>
      <c r="R1759" s="544"/>
      <c r="S1759" s="544"/>
    </row>
    <row r="1760" ht="14.25" customHeight="1">
      <c r="A1760" s="542"/>
      <c r="B1760" s="543"/>
      <c r="C1760" s="543"/>
      <c r="D1760" s="544"/>
      <c r="E1760" s="544"/>
      <c r="F1760" s="544"/>
      <c r="G1760" s="544"/>
      <c r="H1760" s="544"/>
      <c r="I1760" s="543"/>
      <c r="J1760" s="543"/>
      <c r="K1760" s="544"/>
      <c r="L1760" s="543"/>
      <c r="M1760" s="544"/>
      <c r="N1760" s="543"/>
      <c r="O1760" s="544"/>
      <c r="P1760" s="544"/>
      <c r="Q1760" s="544"/>
      <c r="R1760" s="544"/>
      <c r="S1760" s="544"/>
    </row>
    <row r="1761" ht="14.25" customHeight="1">
      <c r="A1761" s="542"/>
      <c r="B1761" s="543"/>
      <c r="C1761" s="543"/>
      <c r="D1761" s="544"/>
      <c r="E1761" s="544"/>
      <c r="F1761" s="544"/>
      <c r="G1761" s="544"/>
      <c r="H1761" s="544"/>
      <c r="I1761" s="543"/>
      <c r="J1761" s="543"/>
      <c r="K1761" s="544"/>
      <c r="L1761" s="543"/>
      <c r="M1761" s="544"/>
      <c r="N1761" s="543"/>
      <c r="O1761" s="544"/>
      <c r="P1761" s="544"/>
      <c r="Q1761" s="544"/>
      <c r="R1761" s="544"/>
      <c r="S1761" s="544"/>
    </row>
    <row r="1762" ht="14.25" customHeight="1">
      <c r="A1762" s="542"/>
      <c r="B1762" s="543"/>
      <c r="C1762" s="543"/>
      <c r="D1762" s="544"/>
      <c r="E1762" s="544"/>
      <c r="F1762" s="544"/>
      <c r="G1762" s="544"/>
      <c r="H1762" s="544"/>
      <c r="I1762" s="543"/>
      <c r="J1762" s="543"/>
      <c r="K1762" s="544"/>
      <c r="L1762" s="543"/>
      <c r="M1762" s="544"/>
      <c r="N1762" s="543"/>
      <c r="O1762" s="544"/>
      <c r="P1762" s="544"/>
      <c r="Q1762" s="544"/>
      <c r="R1762" s="544"/>
      <c r="S1762" s="544"/>
    </row>
    <row r="1763" ht="14.25" customHeight="1">
      <c r="A1763" s="542"/>
      <c r="B1763" s="543"/>
      <c r="C1763" s="543"/>
      <c r="D1763" s="544"/>
      <c r="E1763" s="544"/>
      <c r="F1763" s="544"/>
      <c r="G1763" s="544"/>
      <c r="H1763" s="544"/>
      <c r="I1763" s="543"/>
      <c r="J1763" s="543"/>
      <c r="K1763" s="544"/>
      <c r="L1763" s="543"/>
      <c r="M1763" s="544"/>
      <c r="N1763" s="543"/>
      <c r="O1763" s="544"/>
      <c r="P1763" s="544"/>
      <c r="Q1763" s="544"/>
      <c r="R1763" s="544"/>
      <c r="S1763" s="544"/>
    </row>
    <row r="1764" ht="14.25" customHeight="1">
      <c r="A1764" s="542"/>
      <c r="B1764" s="543"/>
      <c r="C1764" s="543"/>
      <c r="D1764" s="544"/>
      <c r="E1764" s="544"/>
      <c r="F1764" s="544"/>
      <c r="G1764" s="544"/>
      <c r="H1764" s="544"/>
      <c r="I1764" s="543"/>
      <c r="J1764" s="543"/>
      <c r="K1764" s="544"/>
      <c r="L1764" s="543"/>
      <c r="M1764" s="544"/>
      <c r="N1764" s="543"/>
      <c r="O1764" s="544"/>
      <c r="P1764" s="544"/>
      <c r="Q1764" s="544"/>
      <c r="R1764" s="544"/>
      <c r="S1764" s="544"/>
    </row>
    <row r="1765" ht="14.25" customHeight="1">
      <c r="A1765" s="542"/>
      <c r="B1765" s="543"/>
      <c r="C1765" s="543"/>
      <c r="D1765" s="544"/>
      <c r="E1765" s="544"/>
      <c r="F1765" s="544"/>
      <c r="G1765" s="544"/>
      <c r="H1765" s="544"/>
      <c r="I1765" s="543"/>
      <c r="J1765" s="543"/>
      <c r="K1765" s="544"/>
      <c r="L1765" s="543"/>
      <c r="M1765" s="544"/>
      <c r="N1765" s="543"/>
      <c r="O1765" s="544"/>
      <c r="P1765" s="544"/>
      <c r="Q1765" s="544"/>
      <c r="R1765" s="544"/>
      <c r="S1765" s="544"/>
    </row>
    <row r="1766" ht="14.25" customHeight="1">
      <c r="A1766" s="542"/>
      <c r="B1766" s="543"/>
      <c r="C1766" s="543"/>
      <c r="D1766" s="544"/>
      <c r="E1766" s="544"/>
      <c r="F1766" s="544"/>
      <c r="G1766" s="544"/>
      <c r="H1766" s="544"/>
      <c r="I1766" s="543"/>
      <c r="J1766" s="543"/>
      <c r="K1766" s="544"/>
      <c r="L1766" s="543"/>
      <c r="M1766" s="544"/>
      <c r="N1766" s="543"/>
      <c r="O1766" s="544"/>
      <c r="P1766" s="544"/>
      <c r="Q1766" s="544"/>
      <c r="R1766" s="544"/>
      <c r="S1766" s="544"/>
    </row>
    <row r="1767" ht="14.25" customHeight="1">
      <c r="A1767" s="542"/>
      <c r="B1767" s="543"/>
      <c r="C1767" s="543"/>
      <c r="D1767" s="544"/>
      <c r="E1767" s="544"/>
      <c r="F1767" s="544"/>
      <c r="G1767" s="544"/>
      <c r="H1767" s="544"/>
      <c r="I1767" s="543"/>
      <c r="J1767" s="543"/>
      <c r="K1767" s="544"/>
      <c r="L1767" s="543"/>
      <c r="M1767" s="544"/>
      <c r="N1767" s="543"/>
      <c r="O1767" s="544"/>
      <c r="P1767" s="544"/>
      <c r="Q1767" s="544"/>
      <c r="R1767" s="544"/>
      <c r="S1767" s="544"/>
    </row>
    <row r="1768" ht="14.25" customHeight="1">
      <c r="A1768" s="542"/>
      <c r="B1768" s="543"/>
      <c r="C1768" s="543"/>
      <c r="D1768" s="544"/>
      <c r="E1768" s="544"/>
      <c r="F1768" s="544"/>
      <c r="G1768" s="544"/>
      <c r="H1768" s="544"/>
      <c r="I1768" s="543"/>
      <c r="J1768" s="543"/>
      <c r="K1768" s="544"/>
      <c r="L1768" s="543"/>
      <c r="M1768" s="544"/>
      <c r="N1768" s="543"/>
      <c r="O1768" s="544"/>
      <c r="P1768" s="544"/>
      <c r="Q1768" s="544"/>
      <c r="R1768" s="544"/>
      <c r="S1768" s="544"/>
    </row>
    <row r="1769" ht="14.25" customHeight="1">
      <c r="A1769" s="542"/>
      <c r="B1769" s="543"/>
      <c r="C1769" s="543"/>
      <c r="D1769" s="544"/>
      <c r="E1769" s="544"/>
      <c r="F1769" s="544"/>
      <c r="G1769" s="544"/>
      <c r="H1769" s="544"/>
      <c r="I1769" s="543"/>
      <c r="J1769" s="543"/>
      <c r="K1769" s="544"/>
      <c r="L1769" s="543"/>
      <c r="M1769" s="544"/>
      <c r="N1769" s="543"/>
      <c r="O1769" s="544"/>
      <c r="P1769" s="544"/>
      <c r="Q1769" s="544"/>
      <c r="R1769" s="544"/>
      <c r="S1769" s="544"/>
    </row>
    <row r="1770" ht="14.25" customHeight="1">
      <c r="A1770" s="542"/>
      <c r="B1770" s="543"/>
      <c r="C1770" s="543"/>
      <c r="D1770" s="544"/>
      <c r="E1770" s="544"/>
      <c r="F1770" s="544"/>
      <c r="G1770" s="544"/>
      <c r="H1770" s="544"/>
      <c r="I1770" s="543"/>
      <c r="J1770" s="543"/>
      <c r="K1770" s="544"/>
      <c r="L1770" s="543"/>
      <c r="M1770" s="544"/>
      <c r="N1770" s="543"/>
      <c r="O1770" s="544"/>
      <c r="P1770" s="544"/>
      <c r="Q1770" s="544"/>
      <c r="R1770" s="544"/>
      <c r="S1770" s="544"/>
    </row>
    <row r="1771" ht="14.25" customHeight="1">
      <c r="A1771" s="542"/>
      <c r="B1771" s="543"/>
      <c r="C1771" s="543"/>
      <c r="D1771" s="544"/>
      <c r="E1771" s="544"/>
      <c r="F1771" s="544"/>
      <c r="G1771" s="544"/>
      <c r="H1771" s="544"/>
      <c r="I1771" s="543"/>
      <c r="J1771" s="543"/>
      <c r="K1771" s="544"/>
      <c r="L1771" s="543"/>
      <c r="M1771" s="544"/>
      <c r="N1771" s="543"/>
      <c r="O1771" s="544"/>
      <c r="P1771" s="544"/>
      <c r="Q1771" s="544"/>
      <c r="R1771" s="544"/>
      <c r="S1771" s="544"/>
    </row>
    <row r="1772" ht="14.25" customHeight="1">
      <c r="A1772" s="542"/>
      <c r="B1772" s="543"/>
      <c r="C1772" s="543"/>
      <c r="D1772" s="544"/>
      <c r="E1772" s="544"/>
      <c r="F1772" s="544"/>
      <c r="G1772" s="544"/>
      <c r="H1772" s="544"/>
      <c r="I1772" s="543"/>
      <c r="J1772" s="543"/>
      <c r="K1772" s="544"/>
      <c r="L1772" s="543"/>
      <c r="M1772" s="544"/>
      <c r="N1772" s="543"/>
      <c r="O1772" s="544"/>
      <c r="P1772" s="544"/>
      <c r="Q1772" s="544"/>
      <c r="R1772" s="544"/>
      <c r="S1772" s="544"/>
    </row>
    <row r="1773" ht="14.25" customHeight="1">
      <c r="A1773" s="542"/>
      <c r="B1773" s="543"/>
      <c r="C1773" s="543"/>
      <c r="D1773" s="544"/>
      <c r="E1773" s="544"/>
      <c r="F1773" s="544"/>
      <c r="G1773" s="544"/>
      <c r="H1773" s="544"/>
      <c r="I1773" s="543"/>
      <c r="J1773" s="543"/>
      <c r="K1773" s="544"/>
      <c r="L1773" s="543"/>
      <c r="M1773" s="544"/>
      <c r="N1773" s="543"/>
      <c r="O1773" s="544"/>
      <c r="P1773" s="544"/>
      <c r="Q1773" s="544"/>
      <c r="R1773" s="544"/>
      <c r="S1773" s="544"/>
    </row>
    <row r="1774" ht="14.25" customHeight="1">
      <c r="A1774" s="542"/>
      <c r="B1774" s="543"/>
      <c r="C1774" s="543"/>
      <c r="D1774" s="544"/>
      <c r="E1774" s="544"/>
      <c r="F1774" s="544"/>
      <c r="G1774" s="544"/>
      <c r="H1774" s="544"/>
      <c r="I1774" s="543"/>
      <c r="J1774" s="543"/>
      <c r="K1774" s="544"/>
      <c r="L1774" s="543"/>
      <c r="M1774" s="544"/>
      <c r="N1774" s="543"/>
      <c r="O1774" s="544"/>
      <c r="P1774" s="544"/>
      <c r="Q1774" s="544"/>
      <c r="R1774" s="544"/>
      <c r="S1774" s="544"/>
    </row>
    <row r="1775" ht="14.25" customHeight="1">
      <c r="A1775" s="542"/>
      <c r="B1775" s="543"/>
      <c r="C1775" s="543"/>
      <c r="D1775" s="544"/>
      <c r="E1775" s="544"/>
      <c r="F1775" s="544"/>
      <c r="G1775" s="544"/>
      <c r="H1775" s="544"/>
      <c r="I1775" s="543"/>
      <c r="J1775" s="543"/>
      <c r="K1775" s="544"/>
      <c r="L1775" s="543"/>
      <c r="M1775" s="544"/>
      <c r="N1775" s="543"/>
      <c r="O1775" s="544"/>
      <c r="P1775" s="544"/>
      <c r="Q1775" s="544"/>
      <c r="R1775" s="544"/>
      <c r="S1775" s="544"/>
    </row>
    <row r="1776" ht="14.25" customHeight="1">
      <c r="A1776" s="542"/>
      <c r="B1776" s="543"/>
      <c r="C1776" s="543"/>
      <c r="D1776" s="544"/>
      <c r="E1776" s="544"/>
      <c r="F1776" s="544"/>
      <c r="G1776" s="544"/>
      <c r="H1776" s="544"/>
      <c r="I1776" s="543"/>
      <c r="J1776" s="543"/>
      <c r="K1776" s="544"/>
      <c r="L1776" s="543"/>
      <c r="M1776" s="544"/>
      <c r="N1776" s="543"/>
      <c r="O1776" s="544"/>
      <c r="P1776" s="544"/>
      <c r="Q1776" s="544"/>
      <c r="R1776" s="544"/>
      <c r="S1776" s="544"/>
    </row>
    <row r="1777" ht="14.25" customHeight="1">
      <c r="A1777" s="542"/>
      <c r="B1777" s="543"/>
      <c r="C1777" s="543"/>
      <c r="D1777" s="544"/>
      <c r="E1777" s="544"/>
      <c r="F1777" s="544"/>
      <c r="G1777" s="544"/>
      <c r="H1777" s="544"/>
      <c r="I1777" s="543"/>
      <c r="J1777" s="543"/>
      <c r="K1777" s="544"/>
      <c r="L1777" s="543"/>
      <c r="M1777" s="544"/>
      <c r="N1777" s="543"/>
      <c r="O1777" s="544"/>
      <c r="P1777" s="544"/>
      <c r="Q1777" s="544"/>
      <c r="R1777" s="544"/>
      <c r="S1777" s="544"/>
    </row>
    <row r="1778" ht="14.25" customHeight="1">
      <c r="A1778" s="542"/>
      <c r="B1778" s="543"/>
      <c r="C1778" s="543"/>
      <c r="D1778" s="544"/>
      <c r="E1778" s="544"/>
      <c r="F1778" s="544"/>
      <c r="G1778" s="544"/>
      <c r="H1778" s="544"/>
      <c r="I1778" s="543"/>
      <c r="J1778" s="543"/>
      <c r="K1778" s="544"/>
      <c r="L1778" s="543"/>
      <c r="M1778" s="544"/>
      <c r="N1778" s="543"/>
      <c r="O1778" s="544"/>
      <c r="P1778" s="544"/>
      <c r="Q1778" s="544"/>
      <c r="R1778" s="544"/>
      <c r="S1778" s="544"/>
    </row>
    <row r="1779" ht="14.25" customHeight="1">
      <c r="A1779" s="542"/>
      <c r="B1779" s="543"/>
      <c r="C1779" s="543"/>
      <c r="D1779" s="544"/>
      <c r="E1779" s="544"/>
      <c r="F1779" s="544"/>
      <c r="G1779" s="544"/>
      <c r="H1779" s="544"/>
      <c r="I1779" s="543"/>
      <c r="J1779" s="543"/>
      <c r="K1779" s="544"/>
      <c r="L1779" s="543"/>
      <c r="M1779" s="544"/>
      <c r="N1779" s="543"/>
      <c r="O1779" s="544"/>
      <c r="P1779" s="544"/>
      <c r="Q1779" s="544"/>
      <c r="R1779" s="544"/>
      <c r="S1779" s="544"/>
    </row>
    <row r="1780" ht="14.25" customHeight="1">
      <c r="A1780" s="542"/>
      <c r="B1780" s="543"/>
      <c r="C1780" s="543"/>
      <c r="D1780" s="544"/>
      <c r="E1780" s="544"/>
      <c r="F1780" s="544"/>
      <c r="G1780" s="544"/>
      <c r="H1780" s="544"/>
      <c r="I1780" s="543"/>
      <c r="J1780" s="543"/>
      <c r="K1780" s="544"/>
      <c r="L1780" s="543"/>
      <c r="M1780" s="544"/>
      <c r="N1780" s="543"/>
      <c r="O1780" s="544"/>
      <c r="P1780" s="544"/>
      <c r="Q1780" s="544"/>
      <c r="R1780" s="544"/>
      <c r="S1780" s="544"/>
    </row>
    <row r="1781" ht="14.25" customHeight="1">
      <c r="A1781" s="542"/>
      <c r="B1781" s="543"/>
      <c r="C1781" s="543"/>
      <c r="D1781" s="544"/>
      <c r="E1781" s="544"/>
      <c r="F1781" s="544"/>
      <c r="G1781" s="544"/>
      <c r="H1781" s="544"/>
      <c r="I1781" s="543"/>
      <c r="J1781" s="543"/>
      <c r="K1781" s="544"/>
      <c r="L1781" s="543"/>
      <c r="M1781" s="544"/>
      <c r="N1781" s="543"/>
      <c r="O1781" s="544"/>
      <c r="P1781" s="544"/>
      <c r="Q1781" s="544"/>
      <c r="R1781" s="544"/>
      <c r="S1781" s="544"/>
    </row>
    <row r="1782" ht="14.25" customHeight="1">
      <c r="A1782" s="542"/>
      <c r="B1782" s="543"/>
      <c r="C1782" s="543"/>
      <c r="D1782" s="544"/>
      <c r="E1782" s="544"/>
      <c r="F1782" s="544"/>
      <c r="G1782" s="544"/>
      <c r="H1782" s="544"/>
      <c r="I1782" s="543"/>
      <c r="J1782" s="543"/>
      <c r="K1782" s="544"/>
      <c r="L1782" s="543"/>
      <c r="M1782" s="544"/>
      <c r="N1782" s="543"/>
      <c r="O1782" s="544"/>
      <c r="P1782" s="544"/>
      <c r="Q1782" s="544"/>
      <c r="R1782" s="544"/>
      <c r="S1782" s="544"/>
    </row>
    <row r="1783" ht="14.25" customHeight="1">
      <c r="A1783" s="542"/>
      <c r="B1783" s="543"/>
      <c r="C1783" s="543"/>
      <c r="D1783" s="544"/>
      <c r="E1783" s="544"/>
      <c r="F1783" s="544"/>
      <c r="G1783" s="544"/>
      <c r="H1783" s="544"/>
      <c r="I1783" s="543"/>
      <c r="J1783" s="543"/>
      <c r="K1783" s="544"/>
      <c r="L1783" s="543"/>
      <c r="M1783" s="544"/>
      <c r="N1783" s="543"/>
      <c r="O1783" s="544"/>
      <c r="P1783" s="544"/>
      <c r="Q1783" s="544"/>
      <c r="R1783" s="544"/>
      <c r="S1783" s="544"/>
    </row>
    <row r="1784" ht="14.25" customHeight="1">
      <c r="A1784" s="542"/>
      <c r="B1784" s="543"/>
      <c r="C1784" s="543"/>
      <c r="D1784" s="544"/>
      <c r="E1784" s="544"/>
      <c r="F1784" s="544"/>
      <c r="G1784" s="544"/>
      <c r="H1784" s="544"/>
      <c r="I1784" s="543"/>
      <c r="J1784" s="543"/>
      <c r="K1784" s="544"/>
      <c r="L1784" s="543"/>
      <c r="M1784" s="544"/>
      <c r="N1784" s="543"/>
      <c r="O1784" s="544"/>
      <c r="P1784" s="544"/>
      <c r="Q1784" s="544"/>
      <c r="R1784" s="544"/>
      <c r="S1784" s="544"/>
    </row>
    <row r="1785" ht="14.25" customHeight="1">
      <c r="A1785" s="542"/>
      <c r="B1785" s="543"/>
      <c r="C1785" s="543"/>
      <c r="D1785" s="544"/>
      <c r="E1785" s="544"/>
      <c r="F1785" s="544"/>
      <c r="G1785" s="544"/>
      <c r="H1785" s="544"/>
      <c r="I1785" s="543"/>
      <c r="J1785" s="543"/>
      <c r="K1785" s="544"/>
      <c r="L1785" s="543"/>
      <c r="M1785" s="544"/>
      <c r="N1785" s="543"/>
      <c r="O1785" s="544"/>
      <c r="P1785" s="544"/>
      <c r="Q1785" s="544"/>
      <c r="R1785" s="544"/>
      <c r="S1785" s="544"/>
    </row>
    <row r="1786" ht="14.25" customHeight="1">
      <c r="A1786" s="542"/>
      <c r="B1786" s="543"/>
      <c r="C1786" s="543"/>
      <c r="D1786" s="544"/>
      <c r="E1786" s="544"/>
      <c r="F1786" s="544"/>
      <c r="G1786" s="544"/>
      <c r="H1786" s="544"/>
      <c r="I1786" s="543"/>
      <c r="J1786" s="543"/>
      <c r="K1786" s="544"/>
      <c r="L1786" s="543"/>
      <c r="M1786" s="544"/>
      <c r="N1786" s="543"/>
      <c r="O1786" s="544"/>
      <c r="P1786" s="544"/>
      <c r="Q1786" s="544"/>
      <c r="R1786" s="544"/>
      <c r="S1786" s="544"/>
    </row>
    <row r="1787" ht="14.25" customHeight="1">
      <c r="A1787" s="542"/>
      <c r="B1787" s="543"/>
      <c r="C1787" s="543"/>
      <c r="D1787" s="544"/>
      <c r="E1787" s="544"/>
      <c r="F1787" s="544"/>
      <c r="G1787" s="544"/>
      <c r="H1787" s="544"/>
      <c r="I1787" s="543"/>
      <c r="J1787" s="543"/>
      <c r="K1787" s="544"/>
      <c r="L1787" s="543"/>
      <c r="M1787" s="544"/>
      <c r="N1787" s="543"/>
      <c r="O1787" s="544"/>
      <c r="P1787" s="544"/>
      <c r="Q1787" s="544"/>
      <c r="R1787" s="544"/>
      <c r="S1787" s="544"/>
    </row>
    <row r="1788" ht="14.25" customHeight="1">
      <c r="A1788" s="542"/>
      <c r="B1788" s="543"/>
      <c r="C1788" s="543"/>
      <c r="D1788" s="544"/>
      <c r="E1788" s="544"/>
      <c r="F1788" s="544"/>
      <c r="G1788" s="544"/>
      <c r="H1788" s="544"/>
      <c r="I1788" s="543"/>
      <c r="J1788" s="543"/>
      <c r="K1788" s="544"/>
      <c r="L1788" s="543"/>
      <c r="M1788" s="544"/>
      <c r="N1788" s="543"/>
      <c r="O1788" s="544"/>
      <c r="P1788" s="544"/>
      <c r="Q1788" s="544"/>
      <c r="R1788" s="544"/>
      <c r="S1788" s="544"/>
    </row>
    <row r="1789" ht="14.25" customHeight="1">
      <c r="A1789" s="542"/>
      <c r="B1789" s="543"/>
      <c r="C1789" s="543"/>
      <c r="D1789" s="544"/>
      <c r="E1789" s="544"/>
      <c r="F1789" s="544"/>
      <c r="G1789" s="544"/>
      <c r="H1789" s="544"/>
      <c r="I1789" s="543"/>
      <c r="J1789" s="543"/>
      <c r="K1789" s="544"/>
      <c r="L1789" s="543"/>
      <c r="M1789" s="544"/>
      <c r="N1789" s="543"/>
      <c r="O1789" s="544"/>
      <c r="P1789" s="544"/>
      <c r="Q1789" s="544"/>
      <c r="R1789" s="544"/>
      <c r="S1789" s="544"/>
    </row>
    <row r="1790" ht="14.25" customHeight="1">
      <c r="A1790" s="542"/>
      <c r="B1790" s="543"/>
      <c r="C1790" s="543"/>
      <c r="D1790" s="544"/>
      <c r="E1790" s="544"/>
      <c r="F1790" s="544"/>
      <c r="G1790" s="544"/>
      <c r="H1790" s="544"/>
      <c r="I1790" s="543"/>
      <c r="J1790" s="543"/>
      <c r="K1790" s="544"/>
      <c r="L1790" s="543"/>
      <c r="M1790" s="544"/>
      <c r="N1790" s="543"/>
      <c r="O1790" s="544"/>
      <c r="P1790" s="544"/>
      <c r="Q1790" s="544"/>
      <c r="R1790" s="544"/>
      <c r="S1790" s="544"/>
    </row>
    <row r="1791" ht="14.25" customHeight="1">
      <c r="A1791" s="542"/>
      <c r="B1791" s="543"/>
      <c r="C1791" s="543"/>
      <c r="D1791" s="544"/>
      <c r="E1791" s="544"/>
      <c r="F1791" s="544"/>
      <c r="G1791" s="544"/>
      <c r="H1791" s="544"/>
      <c r="I1791" s="543"/>
      <c r="J1791" s="543"/>
      <c r="K1791" s="544"/>
      <c r="L1791" s="543"/>
      <c r="M1791" s="544"/>
      <c r="N1791" s="543"/>
      <c r="O1791" s="544"/>
      <c r="P1791" s="544"/>
      <c r="Q1791" s="544"/>
      <c r="R1791" s="544"/>
      <c r="S1791" s="544"/>
    </row>
    <row r="1792" ht="14.25" customHeight="1">
      <c r="A1792" s="542"/>
      <c r="B1792" s="543"/>
      <c r="C1792" s="543"/>
      <c r="D1792" s="544"/>
      <c r="E1792" s="544"/>
      <c r="F1792" s="544"/>
      <c r="G1792" s="544"/>
      <c r="H1792" s="544"/>
      <c r="I1792" s="543"/>
      <c r="J1792" s="543"/>
      <c r="K1792" s="544"/>
      <c r="L1792" s="543"/>
      <c r="M1792" s="544"/>
      <c r="N1792" s="543"/>
      <c r="O1792" s="544"/>
      <c r="P1792" s="544"/>
      <c r="Q1792" s="544"/>
      <c r="R1792" s="544"/>
      <c r="S1792" s="544"/>
    </row>
    <row r="1793" ht="14.25" customHeight="1">
      <c r="A1793" s="542"/>
      <c r="B1793" s="543"/>
      <c r="C1793" s="543"/>
      <c r="D1793" s="544"/>
      <c r="E1793" s="544"/>
      <c r="F1793" s="544"/>
      <c r="G1793" s="544"/>
      <c r="H1793" s="544"/>
      <c r="I1793" s="543"/>
      <c r="J1793" s="543"/>
      <c r="K1793" s="544"/>
      <c r="L1793" s="543"/>
      <c r="M1793" s="544"/>
      <c r="N1793" s="543"/>
      <c r="O1793" s="544"/>
      <c r="P1793" s="544"/>
      <c r="Q1793" s="544"/>
      <c r="R1793" s="544"/>
      <c r="S1793" s="544"/>
    </row>
    <row r="1794" ht="14.25" customHeight="1">
      <c r="A1794" s="542"/>
      <c r="B1794" s="543"/>
      <c r="C1794" s="543"/>
      <c r="D1794" s="544"/>
      <c r="E1794" s="544"/>
      <c r="F1794" s="544"/>
      <c r="G1794" s="544"/>
      <c r="H1794" s="544"/>
      <c r="I1794" s="543"/>
      <c r="J1794" s="543"/>
      <c r="K1794" s="544"/>
      <c r="L1794" s="543"/>
      <c r="M1794" s="544"/>
      <c r="N1794" s="543"/>
      <c r="O1794" s="544"/>
      <c r="P1794" s="544"/>
      <c r="Q1794" s="544"/>
      <c r="R1794" s="544"/>
      <c r="S1794" s="544"/>
    </row>
    <row r="1795" ht="14.25" customHeight="1">
      <c r="A1795" s="542"/>
      <c r="B1795" s="543"/>
      <c r="C1795" s="543"/>
      <c r="D1795" s="544"/>
      <c r="E1795" s="544"/>
      <c r="F1795" s="544"/>
      <c r="G1795" s="544"/>
      <c r="H1795" s="544"/>
      <c r="I1795" s="543"/>
      <c r="J1795" s="543"/>
      <c r="K1795" s="544"/>
      <c r="L1795" s="543"/>
      <c r="M1795" s="544"/>
      <c r="N1795" s="543"/>
      <c r="O1795" s="544"/>
      <c r="P1795" s="544"/>
      <c r="Q1795" s="544"/>
      <c r="R1795" s="544"/>
      <c r="S1795" s="544"/>
    </row>
    <row r="1796" ht="14.25" customHeight="1">
      <c r="A1796" s="542"/>
      <c r="B1796" s="543"/>
      <c r="C1796" s="543"/>
      <c r="D1796" s="544"/>
      <c r="E1796" s="544"/>
      <c r="F1796" s="544"/>
      <c r="G1796" s="544"/>
      <c r="H1796" s="544"/>
      <c r="I1796" s="543"/>
      <c r="J1796" s="543"/>
      <c r="K1796" s="544"/>
      <c r="L1796" s="543"/>
      <c r="M1796" s="544"/>
      <c r="N1796" s="543"/>
      <c r="O1796" s="544"/>
      <c r="P1796" s="544"/>
      <c r="Q1796" s="544"/>
      <c r="R1796" s="544"/>
      <c r="S1796" s="544"/>
    </row>
    <row r="1797" ht="14.25" customHeight="1">
      <c r="A1797" s="542"/>
      <c r="B1797" s="543"/>
      <c r="C1797" s="543"/>
      <c r="D1797" s="544"/>
      <c r="E1797" s="544"/>
      <c r="F1797" s="544"/>
      <c r="G1797" s="544"/>
      <c r="H1797" s="544"/>
      <c r="I1797" s="543"/>
      <c r="J1797" s="543"/>
      <c r="K1797" s="544"/>
      <c r="L1797" s="543"/>
      <c r="M1797" s="544"/>
      <c r="N1797" s="543"/>
      <c r="O1797" s="544"/>
      <c r="P1797" s="544"/>
      <c r="Q1797" s="544"/>
      <c r="R1797" s="544"/>
      <c r="S1797" s="544"/>
    </row>
    <row r="1798" ht="14.25" customHeight="1">
      <c r="A1798" s="542"/>
      <c r="B1798" s="543"/>
      <c r="C1798" s="543"/>
      <c r="D1798" s="544"/>
      <c r="E1798" s="544"/>
      <c r="F1798" s="544"/>
      <c r="G1798" s="544"/>
      <c r="H1798" s="544"/>
      <c r="I1798" s="543"/>
      <c r="J1798" s="543"/>
      <c r="K1798" s="544"/>
      <c r="L1798" s="543"/>
      <c r="M1798" s="544"/>
      <c r="N1798" s="543"/>
      <c r="O1798" s="544"/>
      <c r="P1798" s="544"/>
      <c r="Q1798" s="544"/>
      <c r="R1798" s="544"/>
      <c r="S1798" s="544"/>
    </row>
    <row r="1799" ht="14.25" customHeight="1">
      <c r="A1799" s="542"/>
      <c r="B1799" s="543"/>
      <c r="C1799" s="543"/>
      <c r="D1799" s="544"/>
      <c r="E1799" s="544"/>
      <c r="F1799" s="544"/>
      <c r="G1799" s="544"/>
      <c r="H1799" s="544"/>
      <c r="I1799" s="543"/>
      <c r="J1799" s="543"/>
      <c r="K1799" s="544"/>
      <c r="L1799" s="543"/>
      <c r="M1799" s="544"/>
      <c r="N1799" s="543"/>
      <c r="O1799" s="544"/>
      <c r="P1799" s="544"/>
      <c r="Q1799" s="544"/>
      <c r="R1799" s="544"/>
      <c r="S1799" s="544"/>
    </row>
    <row r="1800" ht="14.25" customHeight="1">
      <c r="A1800" s="542"/>
      <c r="B1800" s="543"/>
      <c r="C1800" s="543"/>
      <c r="D1800" s="544"/>
      <c r="E1800" s="544"/>
      <c r="F1800" s="544"/>
      <c r="G1800" s="544"/>
      <c r="H1800" s="544"/>
      <c r="I1800" s="543"/>
      <c r="J1800" s="543"/>
      <c r="K1800" s="544"/>
      <c r="L1800" s="543"/>
      <c r="M1800" s="544"/>
      <c r="N1800" s="543"/>
      <c r="O1800" s="544"/>
      <c r="P1800" s="544"/>
      <c r="Q1800" s="544"/>
      <c r="R1800" s="544"/>
      <c r="S1800" s="544"/>
    </row>
    <row r="1801" ht="14.25" customHeight="1">
      <c r="A1801" s="542"/>
      <c r="B1801" s="543"/>
      <c r="C1801" s="543"/>
      <c r="D1801" s="544"/>
      <c r="E1801" s="544"/>
      <c r="F1801" s="544"/>
      <c r="G1801" s="544"/>
      <c r="H1801" s="544"/>
      <c r="I1801" s="543"/>
      <c r="J1801" s="543"/>
      <c r="K1801" s="544"/>
      <c r="L1801" s="543"/>
      <c r="M1801" s="544"/>
      <c r="N1801" s="543"/>
      <c r="O1801" s="544"/>
      <c r="P1801" s="544"/>
      <c r="Q1801" s="544"/>
      <c r="R1801" s="544"/>
      <c r="S1801" s="544"/>
    </row>
    <row r="1802" ht="14.25" customHeight="1">
      <c r="A1802" s="542"/>
      <c r="B1802" s="543"/>
      <c r="C1802" s="543"/>
      <c r="D1802" s="544"/>
      <c r="E1802" s="544"/>
      <c r="F1802" s="544"/>
      <c r="G1802" s="544"/>
      <c r="H1802" s="544"/>
      <c r="I1802" s="543"/>
      <c r="J1802" s="543"/>
      <c r="K1802" s="544"/>
      <c r="L1802" s="543"/>
      <c r="M1802" s="544"/>
      <c r="N1802" s="543"/>
      <c r="O1802" s="544"/>
      <c r="P1802" s="544"/>
      <c r="Q1802" s="544"/>
      <c r="R1802" s="544"/>
      <c r="S1802" s="544"/>
    </row>
    <row r="1803" ht="14.25" customHeight="1">
      <c r="A1803" s="542"/>
      <c r="B1803" s="543"/>
      <c r="C1803" s="543"/>
      <c r="D1803" s="544"/>
      <c r="E1803" s="544"/>
      <c r="F1803" s="544"/>
      <c r="G1803" s="544"/>
      <c r="H1803" s="544"/>
      <c r="I1803" s="543"/>
      <c r="J1803" s="543"/>
      <c r="K1803" s="544"/>
      <c r="L1803" s="543"/>
      <c r="M1803" s="544"/>
      <c r="N1803" s="543"/>
      <c r="O1803" s="544"/>
      <c r="P1803" s="544"/>
      <c r="Q1803" s="544"/>
      <c r="R1803" s="544"/>
      <c r="S1803" s="544"/>
    </row>
    <row r="1804" ht="14.25" customHeight="1">
      <c r="A1804" s="542"/>
      <c r="B1804" s="543"/>
      <c r="C1804" s="543"/>
      <c r="D1804" s="544"/>
      <c r="E1804" s="544"/>
      <c r="F1804" s="544"/>
      <c r="G1804" s="544"/>
      <c r="H1804" s="544"/>
      <c r="I1804" s="543"/>
      <c r="J1804" s="543"/>
      <c r="K1804" s="544"/>
      <c r="L1804" s="543"/>
      <c r="M1804" s="544"/>
      <c r="N1804" s="543"/>
      <c r="O1804" s="544"/>
      <c r="P1804" s="544"/>
      <c r="Q1804" s="544"/>
      <c r="R1804" s="544"/>
      <c r="S1804" s="544"/>
    </row>
    <row r="1805" ht="14.25" customHeight="1">
      <c r="A1805" s="542"/>
      <c r="B1805" s="543"/>
      <c r="C1805" s="543"/>
      <c r="D1805" s="544"/>
      <c r="E1805" s="544"/>
      <c r="F1805" s="544"/>
      <c r="G1805" s="544"/>
      <c r="H1805" s="544"/>
      <c r="I1805" s="543"/>
      <c r="J1805" s="543"/>
      <c r="K1805" s="544"/>
      <c r="L1805" s="543"/>
      <c r="M1805" s="544"/>
      <c r="N1805" s="543"/>
      <c r="O1805" s="544"/>
      <c r="P1805" s="544"/>
      <c r="Q1805" s="544"/>
      <c r="R1805" s="544"/>
      <c r="S1805" s="544"/>
    </row>
    <row r="1806" ht="14.25" customHeight="1">
      <c r="A1806" s="542"/>
      <c r="B1806" s="543"/>
      <c r="C1806" s="543"/>
      <c r="D1806" s="544"/>
      <c r="E1806" s="544"/>
      <c r="F1806" s="544"/>
      <c r="G1806" s="544"/>
      <c r="H1806" s="544"/>
      <c r="I1806" s="543"/>
      <c r="J1806" s="543"/>
      <c r="K1806" s="544"/>
      <c r="L1806" s="543"/>
      <c r="M1806" s="544"/>
      <c r="N1806" s="543"/>
      <c r="O1806" s="544"/>
      <c r="P1806" s="544"/>
      <c r="Q1806" s="544"/>
      <c r="R1806" s="544"/>
      <c r="S1806" s="544"/>
    </row>
    <row r="1807" ht="14.25" customHeight="1">
      <c r="A1807" s="542"/>
      <c r="B1807" s="543"/>
      <c r="C1807" s="543"/>
      <c r="D1807" s="544"/>
      <c r="E1807" s="544"/>
      <c r="F1807" s="544"/>
      <c r="G1807" s="544"/>
      <c r="H1807" s="544"/>
      <c r="I1807" s="543"/>
      <c r="J1807" s="543"/>
      <c r="K1807" s="544"/>
      <c r="L1807" s="543"/>
      <c r="M1807" s="544"/>
      <c r="N1807" s="543"/>
      <c r="O1807" s="544"/>
      <c r="P1807" s="544"/>
      <c r="Q1807" s="544"/>
      <c r="R1807" s="544"/>
      <c r="S1807" s="544"/>
    </row>
    <row r="1808" ht="14.25" customHeight="1">
      <c r="A1808" s="542"/>
      <c r="B1808" s="543"/>
      <c r="C1808" s="543"/>
      <c r="D1808" s="544"/>
      <c r="E1808" s="544"/>
      <c r="F1808" s="544"/>
      <c r="G1808" s="544"/>
      <c r="H1808" s="544"/>
      <c r="I1808" s="543"/>
      <c r="J1808" s="543"/>
      <c r="K1808" s="544"/>
      <c r="L1808" s="543"/>
      <c r="M1808" s="544"/>
      <c r="N1808" s="543"/>
      <c r="O1808" s="544"/>
      <c r="P1808" s="544"/>
      <c r="Q1808" s="544"/>
      <c r="R1808" s="544"/>
      <c r="S1808" s="544"/>
    </row>
    <row r="1809" ht="14.25" customHeight="1">
      <c r="A1809" s="542"/>
      <c r="B1809" s="543"/>
      <c r="C1809" s="543"/>
      <c r="D1809" s="544"/>
      <c r="E1809" s="544"/>
      <c r="F1809" s="544"/>
      <c r="G1809" s="544"/>
      <c r="H1809" s="544"/>
      <c r="I1809" s="543"/>
      <c r="J1809" s="543"/>
      <c r="K1809" s="544"/>
      <c r="L1809" s="543"/>
      <c r="M1809" s="544"/>
      <c r="N1809" s="543"/>
      <c r="O1809" s="544"/>
      <c r="P1809" s="544"/>
      <c r="Q1809" s="544"/>
      <c r="R1809" s="544"/>
      <c r="S1809" s="544"/>
    </row>
    <row r="1810" ht="14.25" customHeight="1">
      <c r="A1810" s="542"/>
      <c r="B1810" s="543"/>
      <c r="C1810" s="543"/>
      <c r="D1810" s="544"/>
      <c r="E1810" s="544"/>
      <c r="F1810" s="544"/>
      <c r="G1810" s="544"/>
      <c r="H1810" s="544"/>
      <c r="I1810" s="543"/>
      <c r="J1810" s="543"/>
      <c r="K1810" s="544"/>
      <c r="L1810" s="543"/>
      <c r="M1810" s="544"/>
      <c r="N1810" s="543"/>
      <c r="O1810" s="544"/>
      <c r="P1810" s="544"/>
      <c r="Q1810" s="544"/>
      <c r="R1810" s="544"/>
      <c r="S1810" s="544"/>
    </row>
    <row r="1811" ht="14.25" customHeight="1">
      <c r="A1811" s="542"/>
      <c r="B1811" s="543"/>
      <c r="C1811" s="543"/>
      <c r="D1811" s="544"/>
      <c r="E1811" s="544"/>
      <c r="F1811" s="544"/>
      <c r="G1811" s="544"/>
      <c r="H1811" s="544"/>
      <c r="I1811" s="543"/>
      <c r="J1811" s="543"/>
      <c r="K1811" s="544"/>
      <c r="L1811" s="543"/>
      <c r="M1811" s="544"/>
      <c r="N1811" s="543"/>
      <c r="O1811" s="544"/>
      <c r="P1811" s="544"/>
      <c r="Q1811" s="544"/>
      <c r="R1811" s="544"/>
      <c r="S1811" s="544"/>
    </row>
    <row r="1812" ht="14.25" customHeight="1">
      <c r="A1812" s="542"/>
      <c r="B1812" s="543"/>
      <c r="C1812" s="543"/>
      <c r="D1812" s="544"/>
      <c r="E1812" s="544"/>
      <c r="F1812" s="544"/>
      <c r="G1812" s="544"/>
      <c r="H1812" s="544"/>
      <c r="I1812" s="543"/>
      <c r="J1812" s="543"/>
      <c r="K1812" s="544"/>
      <c r="L1812" s="543"/>
      <c r="M1812" s="544"/>
      <c r="N1812" s="543"/>
      <c r="O1812" s="544"/>
      <c r="P1812" s="544"/>
      <c r="Q1812" s="544"/>
      <c r="R1812" s="544"/>
      <c r="S1812" s="544"/>
    </row>
    <row r="1813" ht="14.25" customHeight="1">
      <c r="A1813" s="542"/>
      <c r="B1813" s="543"/>
      <c r="C1813" s="543"/>
      <c r="D1813" s="544"/>
      <c r="E1813" s="544"/>
      <c r="F1813" s="544"/>
      <c r="G1813" s="544"/>
      <c r="H1813" s="544"/>
      <c r="I1813" s="543"/>
      <c r="J1813" s="543"/>
      <c r="K1813" s="544"/>
      <c r="L1813" s="543"/>
      <c r="M1813" s="544"/>
      <c r="N1813" s="543"/>
      <c r="O1813" s="544"/>
      <c r="P1813" s="544"/>
      <c r="Q1813" s="544"/>
      <c r="R1813" s="544"/>
      <c r="S1813" s="544"/>
    </row>
    <row r="1814" ht="14.25" customHeight="1">
      <c r="A1814" s="542"/>
      <c r="B1814" s="543"/>
      <c r="C1814" s="543"/>
      <c r="D1814" s="544"/>
      <c r="E1814" s="544"/>
      <c r="F1814" s="544"/>
      <c r="G1814" s="544"/>
      <c r="H1814" s="544"/>
      <c r="I1814" s="543"/>
      <c r="J1814" s="543"/>
      <c r="K1814" s="544"/>
      <c r="L1814" s="543"/>
      <c r="M1814" s="544"/>
      <c r="N1814" s="543"/>
      <c r="O1814" s="544"/>
      <c r="P1814" s="544"/>
      <c r="Q1814" s="544"/>
      <c r="R1814" s="544"/>
      <c r="S1814" s="544"/>
    </row>
    <row r="1815" ht="14.25" customHeight="1">
      <c r="A1815" s="542"/>
      <c r="B1815" s="543"/>
      <c r="C1815" s="543"/>
      <c r="D1815" s="544"/>
      <c r="E1815" s="544"/>
      <c r="F1815" s="544"/>
      <c r="G1815" s="544"/>
      <c r="H1815" s="544"/>
      <c r="I1815" s="543"/>
      <c r="J1815" s="543"/>
      <c r="K1815" s="544"/>
      <c r="L1815" s="543"/>
      <c r="M1815" s="544"/>
      <c r="N1815" s="543"/>
      <c r="O1815" s="544"/>
      <c r="P1815" s="544"/>
      <c r="Q1815" s="544"/>
      <c r="R1815" s="544"/>
      <c r="S1815" s="544"/>
    </row>
    <row r="1816" ht="14.25" customHeight="1">
      <c r="A1816" s="542"/>
      <c r="B1816" s="543"/>
      <c r="C1816" s="543"/>
      <c r="D1816" s="544"/>
      <c r="E1816" s="544"/>
      <c r="F1816" s="544"/>
      <c r="G1816" s="544"/>
      <c r="H1816" s="544"/>
      <c r="I1816" s="543"/>
      <c r="J1816" s="543"/>
      <c r="K1816" s="544"/>
      <c r="L1816" s="543"/>
      <c r="M1816" s="544"/>
      <c r="N1816" s="543"/>
      <c r="O1816" s="544"/>
      <c r="P1816" s="544"/>
      <c r="Q1816" s="544"/>
      <c r="R1816" s="544"/>
      <c r="S1816" s="544"/>
    </row>
    <row r="1817" ht="14.25" customHeight="1">
      <c r="A1817" s="542"/>
      <c r="B1817" s="543"/>
      <c r="C1817" s="543"/>
      <c r="D1817" s="544"/>
      <c r="E1817" s="544"/>
      <c r="F1817" s="544"/>
      <c r="G1817" s="544"/>
      <c r="H1817" s="544"/>
      <c r="I1817" s="543"/>
      <c r="J1817" s="543"/>
      <c r="K1817" s="544"/>
      <c r="L1817" s="543"/>
      <c r="M1817" s="544"/>
      <c r="N1817" s="543"/>
      <c r="O1817" s="544"/>
      <c r="P1817" s="544"/>
      <c r="Q1817" s="544"/>
      <c r="R1817" s="544"/>
      <c r="S1817" s="544"/>
    </row>
    <row r="1818" ht="14.25" customHeight="1">
      <c r="A1818" s="542"/>
      <c r="B1818" s="543"/>
      <c r="C1818" s="543"/>
      <c r="D1818" s="544"/>
      <c r="E1818" s="544"/>
      <c r="F1818" s="544"/>
      <c r="G1818" s="544"/>
      <c r="H1818" s="544"/>
      <c r="I1818" s="543"/>
      <c r="J1818" s="543"/>
      <c r="K1818" s="544"/>
      <c r="L1818" s="543"/>
      <c r="M1818" s="544"/>
      <c r="N1818" s="543"/>
      <c r="O1818" s="544"/>
      <c r="P1818" s="544"/>
      <c r="Q1818" s="544"/>
      <c r="R1818" s="544"/>
      <c r="S1818" s="544"/>
    </row>
    <row r="1819" ht="14.25" customHeight="1">
      <c r="A1819" s="542"/>
      <c r="B1819" s="543"/>
      <c r="C1819" s="543"/>
      <c r="D1819" s="544"/>
      <c r="E1819" s="544"/>
      <c r="F1819" s="544"/>
      <c r="G1819" s="544"/>
      <c r="H1819" s="544"/>
      <c r="I1819" s="543"/>
      <c r="J1819" s="543"/>
      <c r="K1819" s="544"/>
      <c r="L1819" s="543"/>
      <c r="M1819" s="544"/>
      <c r="N1819" s="543"/>
      <c r="O1819" s="544"/>
      <c r="P1819" s="544"/>
      <c r="Q1819" s="544"/>
      <c r="R1819" s="544"/>
      <c r="S1819" s="544"/>
    </row>
    <row r="1820" ht="14.25" customHeight="1">
      <c r="A1820" s="542"/>
      <c r="B1820" s="543"/>
      <c r="C1820" s="543"/>
      <c r="D1820" s="544"/>
      <c r="E1820" s="544"/>
      <c r="F1820" s="544"/>
      <c r="G1820" s="544"/>
      <c r="H1820" s="544"/>
      <c r="I1820" s="543"/>
      <c r="J1820" s="543"/>
      <c r="K1820" s="544"/>
      <c r="L1820" s="543"/>
      <c r="M1820" s="544"/>
      <c r="N1820" s="543"/>
      <c r="O1820" s="544"/>
      <c r="P1820" s="544"/>
      <c r="Q1820" s="544"/>
      <c r="R1820" s="544"/>
      <c r="S1820" s="544"/>
    </row>
    <row r="1821" ht="14.25" customHeight="1">
      <c r="A1821" s="542"/>
      <c r="B1821" s="543"/>
      <c r="C1821" s="543"/>
      <c r="D1821" s="544"/>
      <c r="E1821" s="544"/>
      <c r="F1821" s="544"/>
      <c r="G1821" s="544"/>
      <c r="H1821" s="544"/>
      <c r="I1821" s="543"/>
      <c r="J1821" s="543"/>
      <c r="K1821" s="544"/>
      <c r="L1821" s="543"/>
      <c r="M1821" s="544"/>
      <c r="N1821" s="543"/>
      <c r="O1821" s="544"/>
      <c r="P1821" s="544"/>
      <c r="Q1821" s="544"/>
      <c r="R1821" s="544"/>
      <c r="S1821" s="544"/>
    </row>
    <row r="1822" ht="14.25" customHeight="1">
      <c r="A1822" s="542"/>
      <c r="B1822" s="543"/>
      <c r="C1822" s="543"/>
      <c r="D1822" s="544"/>
      <c r="E1822" s="544"/>
      <c r="F1822" s="544"/>
      <c r="G1822" s="544"/>
      <c r="H1822" s="544"/>
      <c r="I1822" s="543"/>
      <c r="J1822" s="543"/>
      <c r="K1822" s="544"/>
      <c r="L1822" s="543"/>
      <c r="M1822" s="544"/>
      <c r="N1822" s="543"/>
      <c r="O1822" s="544"/>
      <c r="P1822" s="544"/>
      <c r="Q1822" s="544"/>
      <c r="R1822" s="544"/>
      <c r="S1822" s="544"/>
    </row>
    <row r="1823" ht="14.25" customHeight="1">
      <c r="A1823" s="542"/>
      <c r="B1823" s="543"/>
      <c r="C1823" s="543"/>
      <c r="D1823" s="544"/>
      <c r="E1823" s="544"/>
      <c r="F1823" s="544"/>
      <c r="G1823" s="544"/>
      <c r="H1823" s="544"/>
      <c r="I1823" s="543"/>
      <c r="J1823" s="543"/>
      <c r="K1823" s="544"/>
      <c r="L1823" s="543"/>
      <c r="M1823" s="544"/>
      <c r="N1823" s="543"/>
      <c r="O1823" s="544"/>
      <c r="P1823" s="544"/>
      <c r="Q1823" s="544"/>
      <c r="R1823" s="544"/>
      <c r="S1823" s="544"/>
    </row>
    <row r="1824" ht="14.25" customHeight="1">
      <c r="A1824" s="542"/>
      <c r="B1824" s="543"/>
      <c r="C1824" s="543"/>
      <c r="D1824" s="544"/>
      <c r="E1824" s="544"/>
      <c r="F1824" s="544"/>
      <c r="G1824" s="544"/>
      <c r="H1824" s="544"/>
      <c r="I1824" s="543"/>
      <c r="J1824" s="543"/>
      <c r="K1824" s="544"/>
      <c r="L1824" s="543"/>
      <c r="M1824" s="544"/>
      <c r="N1824" s="543"/>
      <c r="O1824" s="544"/>
      <c r="P1824" s="544"/>
      <c r="Q1824" s="544"/>
      <c r="R1824" s="544"/>
      <c r="S1824" s="544"/>
    </row>
    <row r="1825" ht="14.25" customHeight="1">
      <c r="A1825" s="542"/>
      <c r="B1825" s="543"/>
      <c r="C1825" s="543"/>
      <c r="D1825" s="544"/>
      <c r="E1825" s="544"/>
      <c r="F1825" s="544"/>
      <c r="G1825" s="544"/>
      <c r="H1825" s="544"/>
      <c r="I1825" s="543"/>
      <c r="J1825" s="543"/>
      <c r="K1825" s="544"/>
      <c r="L1825" s="543"/>
      <c r="M1825" s="544"/>
      <c r="N1825" s="543"/>
      <c r="O1825" s="544"/>
      <c r="P1825" s="544"/>
      <c r="Q1825" s="544"/>
      <c r="R1825" s="544"/>
      <c r="S1825" s="544"/>
    </row>
    <row r="1826" ht="14.25" customHeight="1">
      <c r="A1826" s="542"/>
      <c r="B1826" s="543"/>
      <c r="C1826" s="543"/>
      <c r="D1826" s="544"/>
      <c r="E1826" s="544"/>
      <c r="F1826" s="544"/>
      <c r="G1826" s="544"/>
      <c r="H1826" s="544"/>
      <c r="I1826" s="543"/>
      <c r="J1826" s="543"/>
      <c r="K1826" s="544"/>
      <c r="L1826" s="543"/>
      <c r="M1826" s="544"/>
      <c r="N1826" s="543"/>
      <c r="O1826" s="544"/>
      <c r="P1826" s="544"/>
      <c r="Q1826" s="544"/>
      <c r="R1826" s="544"/>
      <c r="S1826" s="544"/>
    </row>
    <row r="1827" ht="14.25" customHeight="1">
      <c r="A1827" s="542"/>
      <c r="B1827" s="543"/>
      <c r="C1827" s="543"/>
      <c r="D1827" s="544"/>
      <c r="E1827" s="544"/>
      <c r="F1827" s="544"/>
      <c r="G1827" s="544"/>
      <c r="H1827" s="544"/>
      <c r="I1827" s="543"/>
      <c r="J1827" s="543"/>
      <c r="K1827" s="544"/>
      <c r="L1827" s="543"/>
      <c r="M1827" s="544"/>
      <c r="N1827" s="543"/>
      <c r="O1827" s="544"/>
      <c r="P1827" s="544"/>
      <c r="Q1827" s="544"/>
      <c r="R1827" s="544"/>
      <c r="S1827" s="544"/>
    </row>
    <row r="1828" ht="14.25" customHeight="1">
      <c r="A1828" s="542"/>
      <c r="B1828" s="543"/>
      <c r="C1828" s="543"/>
      <c r="D1828" s="544"/>
      <c r="E1828" s="544"/>
      <c r="F1828" s="544"/>
      <c r="G1828" s="544"/>
      <c r="H1828" s="544"/>
      <c r="I1828" s="543"/>
      <c r="J1828" s="543"/>
      <c r="K1828" s="544"/>
      <c r="L1828" s="543"/>
      <c r="M1828" s="544"/>
      <c r="N1828" s="543"/>
      <c r="O1828" s="544"/>
      <c r="P1828" s="544"/>
      <c r="Q1828" s="544"/>
      <c r="R1828" s="544"/>
      <c r="S1828" s="544"/>
    </row>
    <row r="1829" ht="14.25" customHeight="1">
      <c r="A1829" s="542"/>
      <c r="B1829" s="543"/>
      <c r="C1829" s="543"/>
      <c r="D1829" s="544"/>
      <c r="E1829" s="544"/>
      <c r="F1829" s="544"/>
      <c r="G1829" s="544"/>
      <c r="H1829" s="544"/>
      <c r="I1829" s="543"/>
      <c r="J1829" s="543"/>
      <c r="K1829" s="544"/>
      <c r="L1829" s="543"/>
      <c r="M1829" s="544"/>
      <c r="N1829" s="543"/>
      <c r="O1829" s="544"/>
      <c r="P1829" s="544"/>
      <c r="Q1829" s="544"/>
      <c r="R1829" s="544"/>
      <c r="S1829" s="544"/>
    </row>
    <row r="1830" ht="14.25" customHeight="1">
      <c r="A1830" s="542"/>
      <c r="B1830" s="543"/>
      <c r="C1830" s="543"/>
      <c r="D1830" s="544"/>
      <c r="E1830" s="544"/>
      <c r="F1830" s="544"/>
      <c r="G1830" s="544"/>
      <c r="H1830" s="544"/>
      <c r="I1830" s="543"/>
      <c r="J1830" s="543"/>
      <c r="K1830" s="544"/>
      <c r="L1830" s="543"/>
      <c r="M1830" s="544"/>
      <c r="N1830" s="543"/>
      <c r="O1830" s="544"/>
      <c r="P1830" s="544"/>
      <c r="Q1830" s="544"/>
      <c r="R1830" s="544"/>
      <c r="S1830" s="544"/>
    </row>
    <row r="1831" ht="14.25" customHeight="1">
      <c r="A1831" s="542"/>
      <c r="B1831" s="543"/>
      <c r="C1831" s="543"/>
      <c r="D1831" s="544"/>
      <c r="E1831" s="544"/>
      <c r="F1831" s="544"/>
      <c r="G1831" s="544"/>
      <c r="H1831" s="544"/>
      <c r="I1831" s="543"/>
      <c r="J1831" s="543"/>
      <c r="K1831" s="544"/>
      <c r="L1831" s="543"/>
      <c r="M1831" s="544"/>
      <c r="N1831" s="543"/>
      <c r="O1831" s="544"/>
      <c r="P1831" s="544"/>
      <c r="Q1831" s="544"/>
      <c r="R1831" s="544"/>
      <c r="S1831" s="544"/>
    </row>
    <row r="1832" ht="14.25" customHeight="1">
      <c r="A1832" s="542"/>
      <c r="B1832" s="543"/>
      <c r="C1832" s="543"/>
      <c r="D1832" s="544"/>
      <c r="E1832" s="544"/>
      <c r="F1832" s="544"/>
      <c r="G1832" s="544"/>
      <c r="H1832" s="544"/>
      <c r="I1832" s="543"/>
      <c r="J1832" s="543"/>
      <c r="K1832" s="544"/>
      <c r="L1832" s="543"/>
      <c r="M1832" s="544"/>
      <c r="N1832" s="543"/>
      <c r="O1832" s="544"/>
      <c r="P1832" s="544"/>
      <c r="Q1832" s="544"/>
      <c r="R1832" s="544"/>
      <c r="S1832" s="544"/>
    </row>
    <row r="1833" ht="14.25" customHeight="1">
      <c r="A1833" s="542"/>
      <c r="B1833" s="543"/>
      <c r="C1833" s="543"/>
      <c r="D1833" s="544"/>
      <c r="E1833" s="544"/>
      <c r="F1833" s="544"/>
      <c r="G1833" s="544"/>
      <c r="H1833" s="544"/>
      <c r="I1833" s="543"/>
      <c r="J1833" s="543"/>
      <c r="K1833" s="544"/>
      <c r="L1833" s="543"/>
      <c r="M1833" s="544"/>
      <c r="N1833" s="543"/>
      <c r="O1833" s="544"/>
      <c r="P1833" s="544"/>
      <c r="Q1833" s="544"/>
      <c r="R1833" s="544"/>
      <c r="S1833" s="544"/>
    </row>
    <row r="1834" ht="14.25" customHeight="1">
      <c r="A1834" s="542"/>
      <c r="B1834" s="543"/>
      <c r="C1834" s="543"/>
      <c r="D1834" s="544"/>
      <c r="E1834" s="544"/>
      <c r="F1834" s="544"/>
      <c r="G1834" s="544"/>
      <c r="H1834" s="544"/>
      <c r="I1834" s="543"/>
      <c r="J1834" s="543"/>
      <c r="K1834" s="544"/>
      <c r="L1834" s="543"/>
      <c r="M1834" s="544"/>
      <c r="N1834" s="543"/>
      <c r="O1834" s="544"/>
      <c r="P1834" s="544"/>
      <c r="Q1834" s="544"/>
      <c r="R1834" s="544"/>
      <c r="S1834" s="544"/>
    </row>
    <row r="1835" ht="14.25" customHeight="1">
      <c r="A1835" s="542"/>
      <c r="B1835" s="543"/>
      <c r="C1835" s="543"/>
      <c r="D1835" s="544"/>
      <c r="E1835" s="544"/>
      <c r="F1835" s="544"/>
      <c r="G1835" s="544"/>
      <c r="H1835" s="544"/>
      <c r="I1835" s="543"/>
      <c r="J1835" s="543"/>
      <c r="K1835" s="544"/>
      <c r="L1835" s="543"/>
      <c r="M1835" s="544"/>
      <c r="N1835" s="543"/>
      <c r="O1835" s="544"/>
      <c r="P1835" s="544"/>
      <c r="Q1835" s="544"/>
      <c r="R1835" s="544"/>
      <c r="S1835" s="544"/>
    </row>
    <row r="1836" ht="14.25" customHeight="1">
      <c r="A1836" s="542"/>
      <c r="B1836" s="543"/>
      <c r="C1836" s="543"/>
      <c r="D1836" s="544"/>
      <c r="E1836" s="544"/>
      <c r="F1836" s="544"/>
      <c r="G1836" s="544"/>
      <c r="H1836" s="544"/>
      <c r="I1836" s="543"/>
      <c r="J1836" s="543"/>
      <c r="K1836" s="544"/>
      <c r="L1836" s="543"/>
      <c r="M1836" s="544"/>
      <c r="N1836" s="543"/>
      <c r="O1836" s="544"/>
      <c r="P1836" s="544"/>
      <c r="Q1836" s="544"/>
      <c r="R1836" s="544"/>
      <c r="S1836" s="544"/>
    </row>
    <row r="1837" ht="14.25" customHeight="1">
      <c r="A1837" s="542"/>
      <c r="B1837" s="543"/>
      <c r="C1837" s="543"/>
      <c r="D1837" s="544"/>
      <c r="E1837" s="544"/>
      <c r="F1837" s="544"/>
      <c r="G1837" s="544"/>
      <c r="H1837" s="544"/>
      <c r="I1837" s="543"/>
      <c r="J1837" s="543"/>
      <c r="K1837" s="544"/>
      <c r="L1837" s="543"/>
      <c r="M1837" s="544"/>
      <c r="N1837" s="543"/>
      <c r="O1837" s="544"/>
      <c r="P1837" s="544"/>
      <c r="Q1837" s="544"/>
      <c r="R1837" s="544"/>
      <c r="S1837" s="544"/>
    </row>
    <row r="1838" ht="14.25" customHeight="1">
      <c r="A1838" s="542"/>
      <c r="B1838" s="543"/>
      <c r="C1838" s="543"/>
      <c r="D1838" s="544"/>
      <c r="E1838" s="544"/>
      <c r="F1838" s="544"/>
      <c r="G1838" s="544"/>
      <c r="H1838" s="544"/>
      <c r="I1838" s="543"/>
      <c r="J1838" s="543"/>
      <c r="K1838" s="544"/>
      <c r="L1838" s="543"/>
      <c r="M1838" s="544"/>
      <c r="N1838" s="543"/>
      <c r="O1838" s="544"/>
      <c r="P1838" s="544"/>
      <c r="Q1838" s="544"/>
      <c r="R1838" s="544"/>
      <c r="S1838" s="544"/>
    </row>
    <row r="1839" ht="14.25" customHeight="1">
      <c r="A1839" s="542"/>
      <c r="B1839" s="543"/>
      <c r="C1839" s="543"/>
      <c r="D1839" s="544"/>
      <c r="E1839" s="544"/>
      <c r="F1839" s="544"/>
      <c r="G1839" s="544"/>
      <c r="H1839" s="544"/>
      <c r="I1839" s="543"/>
      <c r="J1839" s="543"/>
      <c r="K1839" s="544"/>
      <c r="L1839" s="543"/>
      <c r="M1839" s="544"/>
      <c r="N1839" s="543"/>
      <c r="O1839" s="544"/>
      <c r="P1839" s="544"/>
      <c r="Q1839" s="544"/>
      <c r="R1839" s="544"/>
      <c r="S1839" s="544"/>
    </row>
    <row r="1840" ht="14.25" customHeight="1">
      <c r="A1840" s="542"/>
      <c r="B1840" s="543"/>
      <c r="C1840" s="543"/>
      <c r="D1840" s="544"/>
      <c r="E1840" s="544"/>
      <c r="F1840" s="544"/>
      <c r="G1840" s="544"/>
      <c r="H1840" s="544"/>
      <c r="I1840" s="543"/>
      <c r="J1840" s="543"/>
      <c r="K1840" s="544"/>
      <c r="L1840" s="543"/>
      <c r="M1840" s="544"/>
      <c r="N1840" s="543"/>
      <c r="O1840" s="544"/>
      <c r="P1840" s="544"/>
      <c r="Q1840" s="544"/>
      <c r="R1840" s="544"/>
      <c r="S1840" s="544"/>
    </row>
    <row r="1841" ht="14.25" customHeight="1">
      <c r="A1841" s="542"/>
      <c r="B1841" s="543"/>
      <c r="C1841" s="543"/>
      <c r="D1841" s="544"/>
      <c r="E1841" s="544"/>
      <c r="F1841" s="544"/>
      <c r="G1841" s="544"/>
      <c r="H1841" s="544"/>
      <c r="I1841" s="543"/>
      <c r="J1841" s="543"/>
      <c r="K1841" s="544"/>
      <c r="L1841" s="543"/>
      <c r="M1841" s="544"/>
      <c r="N1841" s="543"/>
      <c r="O1841" s="544"/>
      <c r="P1841" s="544"/>
      <c r="Q1841" s="544"/>
      <c r="R1841" s="544"/>
      <c r="S1841" s="544"/>
    </row>
    <row r="1842" ht="14.25" customHeight="1">
      <c r="A1842" s="542"/>
      <c r="B1842" s="543"/>
      <c r="C1842" s="543"/>
      <c r="D1842" s="544"/>
      <c r="E1842" s="544"/>
      <c r="F1842" s="544"/>
      <c r="G1842" s="544"/>
      <c r="H1842" s="544"/>
      <c r="I1842" s="543"/>
      <c r="J1842" s="543"/>
      <c r="K1842" s="544"/>
      <c r="L1842" s="543"/>
      <c r="M1842" s="544"/>
      <c r="N1842" s="543"/>
      <c r="O1842" s="544"/>
      <c r="P1842" s="544"/>
      <c r="Q1842" s="544"/>
      <c r="R1842" s="544"/>
      <c r="S1842" s="544"/>
    </row>
    <row r="1843" ht="14.25" customHeight="1">
      <c r="A1843" s="542"/>
      <c r="B1843" s="543"/>
      <c r="C1843" s="543"/>
      <c r="D1843" s="544"/>
      <c r="E1843" s="544"/>
      <c r="F1843" s="544"/>
      <c r="G1843" s="544"/>
      <c r="H1843" s="544"/>
      <c r="I1843" s="543"/>
      <c r="J1843" s="543"/>
      <c r="K1843" s="544"/>
      <c r="L1843" s="543"/>
      <c r="M1843" s="544"/>
      <c r="N1843" s="543"/>
      <c r="O1843" s="544"/>
      <c r="P1843" s="544"/>
      <c r="Q1843" s="544"/>
      <c r="R1843" s="544"/>
      <c r="S1843" s="544"/>
    </row>
    <row r="1844" ht="14.25" customHeight="1">
      <c r="A1844" s="542"/>
      <c r="B1844" s="543"/>
      <c r="C1844" s="543"/>
      <c r="D1844" s="544"/>
      <c r="E1844" s="544"/>
      <c r="F1844" s="544"/>
      <c r="G1844" s="544"/>
      <c r="H1844" s="544"/>
      <c r="I1844" s="543"/>
      <c r="J1844" s="543"/>
      <c r="K1844" s="544"/>
      <c r="L1844" s="543"/>
      <c r="M1844" s="544"/>
      <c r="N1844" s="543"/>
      <c r="O1844" s="544"/>
      <c r="P1844" s="544"/>
      <c r="Q1844" s="544"/>
      <c r="R1844" s="544"/>
      <c r="S1844" s="544"/>
    </row>
    <row r="1845" ht="14.25" customHeight="1">
      <c r="A1845" s="542"/>
      <c r="B1845" s="543"/>
      <c r="C1845" s="543"/>
      <c r="D1845" s="544"/>
      <c r="E1845" s="544"/>
      <c r="F1845" s="544"/>
      <c r="G1845" s="544"/>
      <c r="H1845" s="544"/>
      <c r="I1845" s="543"/>
      <c r="J1845" s="543"/>
      <c r="K1845" s="544"/>
      <c r="L1845" s="543"/>
      <c r="M1845" s="544"/>
      <c r="N1845" s="543"/>
      <c r="O1845" s="544"/>
      <c r="P1845" s="544"/>
      <c r="Q1845" s="544"/>
      <c r="R1845" s="544"/>
      <c r="S1845" s="544"/>
    </row>
    <row r="1846" ht="14.25" customHeight="1">
      <c r="A1846" s="542"/>
      <c r="B1846" s="543"/>
      <c r="C1846" s="543"/>
      <c r="D1846" s="544"/>
      <c r="E1846" s="544"/>
      <c r="F1846" s="544"/>
      <c r="G1846" s="544"/>
      <c r="H1846" s="544"/>
      <c r="I1846" s="543"/>
      <c r="J1846" s="543"/>
      <c r="K1846" s="544"/>
      <c r="L1846" s="543"/>
      <c r="M1846" s="544"/>
      <c r="N1846" s="543"/>
      <c r="O1846" s="544"/>
      <c r="P1846" s="544"/>
      <c r="Q1846" s="544"/>
      <c r="R1846" s="544"/>
      <c r="S1846" s="544"/>
    </row>
    <row r="1847" ht="14.25" customHeight="1">
      <c r="A1847" s="542"/>
      <c r="B1847" s="543"/>
      <c r="C1847" s="543"/>
      <c r="D1847" s="544"/>
      <c r="E1847" s="544"/>
      <c r="F1847" s="544"/>
      <c r="G1847" s="544"/>
      <c r="H1847" s="544"/>
      <c r="I1847" s="543"/>
      <c r="J1847" s="543"/>
      <c r="K1847" s="544"/>
      <c r="L1847" s="543"/>
      <c r="M1847" s="544"/>
      <c r="N1847" s="543"/>
      <c r="O1847" s="544"/>
      <c r="P1847" s="544"/>
      <c r="Q1847" s="544"/>
      <c r="R1847" s="544"/>
      <c r="S1847" s="544"/>
    </row>
    <row r="1848" ht="14.25" customHeight="1">
      <c r="A1848" s="542"/>
      <c r="B1848" s="543"/>
      <c r="C1848" s="543"/>
      <c r="D1848" s="544"/>
      <c r="E1848" s="544"/>
      <c r="F1848" s="544"/>
      <c r="G1848" s="544"/>
      <c r="H1848" s="544"/>
      <c r="I1848" s="543"/>
      <c r="J1848" s="543"/>
      <c r="K1848" s="544"/>
      <c r="L1848" s="543"/>
      <c r="M1848" s="544"/>
      <c r="N1848" s="543"/>
      <c r="O1848" s="544"/>
      <c r="P1848" s="544"/>
      <c r="Q1848" s="544"/>
      <c r="R1848" s="544"/>
      <c r="S1848" s="544"/>
    </row>
    <row r="1849" ht="14.25" customHeight="1">
      <c r="A1849" s="542"/>
      <c r="B1849" s="543"/>
      <c r="C1849" s="543"/>
      <c r="D1849" s="544"/>
      <c r="E1849" s="544"/>
      <c r="F1849" s="544"/>
      <c r="G1849" s="544"/>
      <c r="H1849" s="544"/>
      <c r="I1849" s="543"/>
      <c r="J1849" s="543"/>
      <c r="K1849" s="544"/>
      <c r="L1849" s="543"/>
      <c r="M1849" s="544"/>
      <c r="N1849" s="543"/>
      <c r="O1849" s="544"/>
      <c r="P1849" s="544"/>
      <c r="Q1849" s="544"/>
      <c r="R1849" s="544"/>
      <c r="S1849" s="544"/>
    </row>
    <row r="1850" ht="14.25" customHeight="1">
      <c r="A1850" s="542"/>
      <c r="B1850" s="543"/>
      <c r="C1850" s="543"/>
      <c r="D1850" s="544"/>
      <c r="E1850" s="544"/>
      <c r="F1850" s="544"/>
      <c r="G1850" s="544"/>
      <c r="H1850" s="544"/>
      <c r="I1850" s="543"/>
      <c r="J1850" s="543"/>
      <c r="K1850" s="544"/>
      <c r="L1850" s="543"/>
      <c r="M1850" s="544"/>
      <c r="N1850" s="543"/>
      <c r="O1850" s="544"/>
      <c r="P1850" s="544"/>
      <c r="Q1850" s="544"/>
      <c r="R1850" s="544"/>
      <c r="S1850" s="544"/>
    </row>
    <row r="1851" ht="14.25" customHeight="1">
      <c r="A1851" s="542"/>
      <c r="B1851" s="543"/>
      <c r="C1851" s="543"/>
      <c r="D1851" s="544"/>
      <c r="E1851" s="544"/>
      <c r="F1851" s="544"/>
      <c r="G1851" s="544"/>
      <c r="H1851" s="544"/>
      <c r="I1851" s="543"/>
      <c r="J1851" s="543"/>
      <c r="K1851" s="544"/>
      <c r="L1851" s="543"/>
      <c r="M1851" s="544"/>
      <c r="N1851" s="543"/>
      <c r="O1851" s="544"/>
      <c r="P1851" s="544"/>
      <c r="Q1851" s="544"/>
      <c r="R1851" s="544"/>
      <c r="S1851" s="544"/>
    </row>
    <row r="1852" ht="14.25" customHeight="1">
      <c r="A1852" s="542"/>
      <c r="B1852" s="543"/>
      <c r="C1852" s="543"/>
      <c r="D1852" s="544"/>
      <c r="E1852" s="544"/>
      <c r="F1852" s="544"/>
      <c r="G1852" s="544"/>
      <c r="H1852" s="544"/>
      <c r="I1852" s="543"/>
      <c r="J1852" s="543"/>
      <c r="K1852" s="544"/>
      <c r="L1852" s="543"/>
      <c r="M1852" s="544"/>
      <c r="N1852" s="543"/>
      <c r="O1852" s="544"/>
      <c r="P1852" s="544"/>
      <c r="Q1852" s="544"/>
      <c r="R1852" s="544"/>
      <c r="S1852" s="544"/>
    </row>
    <row r="1853" ht="14.25" customHeight="1">
      <c r="A1853" s="542"/>
      <c r="B1853" s="543"/>
      <c r="C1853" s="543"/>
      <c r="D1853" s="544"/>
      <c r="E1853" s="544"/>
      <c r="F1853" s="544"/>
      <c r="G1853" s="544"/>
      <c r="H1853" s="544"/>
      <c r="I1853" s="543"/>
      <c r="J1853" s="543"/>
      <c r="K1853" s="544"/>
      <c r="L1853" s="543"/>
      <c r="M1853" s="544"/>
      <c r="N1853" s="543"/>
      <c r="O1853" s="544"/>
      <c r="P1853" s="544"/>
      <c r="Q1853" s="544"/>
      <c r="R1853" s="544"/>
      <c r="S1853" s="544"/>
    </row>
    <row r="1854" ht="14.25" customHeight="1">
      <c r="A1854" s="542"/>
      <c r="B1854" s="543"/>
      <c r="C1854" s="543"/>
      <c r="D1854" s="544"/>
      <c r="E1854" s="544"/>
      <c r="F1854" s="544"/>
      <c r="G1854" s="544"/>
      <c r="H1854" s="544"/>
      <c r="I1854" s="543"/>
      <c r="J1854" s="543"/>
      <c r="K1854" s="544"/>
      <c r="L1854" s="543"/>
      <c r="M1854" s="544"/>
      <c r="N1854" s="543"/>
      <c r="O1854" s="544"/>
      <c r="P1854" s="544"/>
      <c r="Q1854" s="544"/>
      <c r="R1854" s="544"/>
      <c r="S1854" s="544"/>
    </row>
    <row r="1855" ht="14.25" customHeight="1">
      <c r="A1855" s="542"/>
      <c r="B1855" s="543"/>
      <c r="C1855" s="543"/>
      <c r="D1855" s="544"/>
      <c r="E1855" s="544"/>
      <c r="F1855" s="544"/>
      <c r="G1855" s="544"/>
      <c r="H1855" s="544"/>
      <c r="I1855" s="543"/>
      <c r="J1855" s="543"/>
      <c r="K1855" s="544"/>
      <c r="L1855" s="543"/>
      <c r="M1855" s="544"/>
      <c r="N1855" s="543"/>
      <c r="O1855" s="544"/>
      <c r="P1855" s="544"/>
      <c r="Q1855" s="544"/>
      <c r="R1855" s="544"/>
      <c r="S1855" s="544"/>
    </row>
    <row r="1856" ht="14.25" customHeight="1">
      <c r="A1856" s="542"/>
      <c r="B1856" s="543"/>
      <c r="C1856" s="543"/>
      <c r="D1856" s="544"/>
      <c r="E1856" s="544"/>
      <c r="F1856" s="544"/>
      <c r="G1856" s="544"/>
      <c r="H1856" s="544"/>
      <c r="I1856" s="543"/>
      <c r="J1856" s="543"/>
      <c r="K1856" s="544"/>
      <c r="L1856" s="543"/>
      <c r="M1856" s="544"/>
      <c r="N1856" s="543"/>
      <c r="O1856" s="544"/>
      <c r="P1856" s="544"/>
      <c r="Q1856" s="544"/>
      <c r="R1856" s="544"/>
      <c r="S1856" s="544"/>
    </row>
    <row r="1857" ht="14.25" customHeight="1">
      <c r="A1857" s="542"/>
      <c r="B1857" s="543"/>
      <c r="C1857" s="543"/>
      <c r="D1857" s="544"/>
      <c r="E1857" s="544"/>
      <c r="F1857" s="544"/>
      <c r="G1857" s="544"/>
      <c r="H1857" s="544"/>
      <c r="I1857" s="543"/>
      <c r="J1857" s="543"/>
      <c r="K1857" s="544"/>
      <c r="L1857" s="543"/>
      <c r="M1857" s="544"/>
      <c r="N1857" s="543"/>
      <c r="O1857" s="544"/>
      <c r="P1857" s="544"/>
      <c r="Q1857" s="544"/>
      <c r="R1857" s="544"/>
      <c r="S1857" s="544"/>
    </row>
    <row r="1858" ht="14.25" customHeight="1">
      <c r="A1858" s="542"/>
      <c r="B1858" s="543"/>
      <c r="C1858" s="543"/>
      <c r="D1858" s="544"/>
      <c r="E1858" s="544"/>
      <c r="F1858" s="544"/>
      <c r="G1858" s="544"/>
      <c r="H1858" s="544"/>
      <c r="I1858" s="543"/>
      <c r="J1858" s="543"/>
      <c r="K1858" s="544"/>
      <c r="L1858" s="543"/>
      <c r="M1858" s="544"/>
      <c r="N1858" s="543"/>
      <c r="O1858" s="544"/>
      <c r="P1858" s="544"/>
      <c r="Q1858" s="544"/>
      <c r="R1858" s="544"/>
      <c r="S1858" s="544"/>
    </row>
    <row r="1859" ht="14.25" customHeight="1">
      <c r="A1859" s="542"/>
      <c r="B1859" s="543"/>
      <c r="C1859" s="543"/>
      <c r="D1859" s="544"/>
      <c r="E1859" s="544"/>
      <c r="F1859" s="544"/>
      <c r="G1859" s="544"/>
      <c r="H1859" s="544"/>
      <c r="I1859" s="543"/>
      <c r="J1859" s="543"/>
      <c r="K1859" s="544"/>
      <c r="L1859" s="543"/>
      <c r="M1859" s="544"/>
      <c r="N1859" s="543"/>
      <c r="O1859" s="544"/>
      <c r="P1859" s="544"/>
      <c r="Q1859" s="544"/>
      <c r="R1859" s="544"/>
      <c r="S1859" s="544"/>
    </row>
    <row r="1860" ht="14.25" customHeight="1">
      <c r="A1860" s="542"/>
      <c r="B1860" s="543"/>
      <c r="C1860" s="543"/>
      <c r="D1860" s="544"/>
      <c r="E1860" s="544"/>
      <c r="F1860" s="544"/>
      <c r="G1860" s="544"/>
      <c r="H1860" s="544"/>
      <c r="I1860" s="543"/>
      <c r="J1860" s="543"/>
      <c r="K1860" s="544"/>
      <c r="L1860" s="543"/>
      <c r="M1860" s="544"/>
      <c r="N1860" s="543"/>
      <c r="O1860" s="544"/>
      <c r="P1860" s="544"/>
      <c r="Q1860" s="544"/>
      <c r="R1860" s="544"/>
      <c r="S1860" s="544"/>
    </row>
    <row r="1861" ht="14.25" customHeight="1">
      <c r="A1861" s="542"/>
      <c r="B1861" s="543"/>
      <c r="C1861" s="543"/>
      <c r="D1861" s="544"/>
      <c r="E1861" s="544"/>
      <c r="F1861" s="544"/>
      <c r="G1861" s="544"/>
      <c r="H1861" s="544"/>
      <c r="I1861" s="543"/>
      <c r="J1861" s="543"/>
      <c r="K1861" s="544"/>
      <c r="L1861" s="543"/>
      <c r="M1861" s="544"/>
      <c r="N1861" s="543"/>
      <c r="O1861" s="544"/>
      <c r="P1861" s="544"/>
      <c r="Q1861" s="544"/>
      <c r="R1861" s="544"/>
      <c r="S1861" s="544"/>
    </row>
    <row r="1862" ht="14.25" customHeight="1">
      <c r="A1862" s="542"/>
      <c r="B1862" s="543"/>
      <c r="C1862" s="543"/>
      <c r="D1862" s="544"/>
      <c r="E1862" s="544"/>
      <c r="F1862" s="544"/>
      <c r="G1862" s="544"/>
      <c r="H1862" s="544"/>
      <c r="I1862" s="543"/>
      <c r="J1862" s="543"/>
      <c r="K1862" s="544"/>
      <c r="L1862" s="543"/>
      <c r="M1862" s="544"/>
      <c r="N1862" s="543"/>
      <c r="O1862" s="544"/>
      <c r="P1862" s="544"/>
      <c r="Q1862" s="544"/>
      <c r="R1862" s="544"/>
      <c r="S1862" s="544"/>
    </row>
    <row r="1863" ht="14.25" customHeight="1">
      <c r="A1863" s="542"/>
      <c r="B1863" s="543"/>
      <c r="C1863" s="543"/>
      <c r="D1863" s="544"/>
      <c r="E1863" s="544"/>
      <c r="F1863" s="544"/>
      <c r="G1863" s="544"/>
      <c r="H1863" s="544"/>
      <c r="I1863" s="543"/>
      <c r="J1863" s="543"/>
      <c r="K1863" s="544"/>
      <c r="L1863" s="543"/>
      <c r="M1863" s="544"/>
      <c r="N1863" s="543"/>
      <c r="O1863" s="544"/>
      <c r="P1863" s="544"/>
      <c r="Q1863" s="544"/>
      <c r="R1863" s="544"/>
      <c r="S1863" s="544"/>
    </row>
    <row r="1864" ht="14.25" customHeight="1">
      <c r="A1864" s="542"/>
      <c r="B1864" s="543"/>
      <c r="C1864" s="543"/>
      <c r="D1864" s="544"/>
      <c r="E1864" s="544"/>
      <c r="F1864" s="544"/>
      <c r="G1864" s="544"/>
      <c r="H1864" s="544"/>
      <c r="I1864" s="543"/>
      <c r="J1864" s="543"/>
      <c r="K1864" s="544"/>
      <c r="L1864" s="543"/>
      <c r="M1864" s="544"/>
      <c r="N1864" s="543"/>
      <c r="O1864" s="544"/>
      <c r="P1864" s="544"/>
      <c r="Q1864" s="544"/>
      <c r="R1864" s="544"/>
      <c r="S1864" s="544"/>
    </row>
    <row r="1865" ht="14.25" customHeight="1">
      <c r="A1865" s="542"/>
      <c r="B1865" s="543"/>
      <c r="C1865" s="543"/>
      <c r="D1865" s="544"/>
      <c r="E1865" s="544"/>
      <c r="F1865" s="544"/>
      <c r="G1865" s="544"/>
      <c r="H1865" s="544"/>
      <c r="I1865" s="543"/>
      <c r="J1865" s="543"/>
      <c r="K1865" s="544"/>
      <c r="L1865" s="543"/>
      <c r="M1865" s="544"/>
      <c r="N1865" s="543"/>
      <c r="O1865" s="544"/>
      <c r="P1865" s="544"/>
      <c r="Q1865" s="544"/>
      <c r="R1865" s="544"/>
      <c r="S1865" s="544"/>
    </row>
    <row r="1866" ht="14.25" customHeight="1">
      <c r="A1866" s="542"/>
      <c r="B1866" s="543"/>
      <c r="C1866" s="543"/>
      <c r="D1866" s="544"/>
      <c r="E1866" s="544"/>
      <c r="F1866" s="544"/>
      <c r="G1866" s="544"/>
      <c r="H1866" s="544"/>
      <c r="I1866" s="543"/>
      <c r="J1866" s="543"/>
      <c r="K1866" s="544"/>
      <c r="L1866" s="543"/>
      <c r="M1866" s="544"/>
      <c r="N1866" s="543"/>
      <c r="O1866" s="544"/>
      <c r="P1866" s="544"/>
      <c r="Q1866" s="544"/>
      <c r="R1866" s="544"/>
      <c r="S1866" s="544"/>
    </row>
    <row r="1867" ht="14.25" customHeight="1">
      <c r="A1867" s="542"/>
      <c r="B1867" s="543"/>
      <c r="C1867" s="543"/>
      <c r="D1867" s="544"/>
      <c r="E1867" s="544"/>
      <c r="F1867" s="544"/>
      <c r="G1867" s="544"/>
      <c r="H1867" s="544"/>
      <c r="I1867" s="543"/>
      <c r="J1867" s="543"/>
      <c r="K1867" s="544"/>
      <c r="L1867" s="543"/>
      <c r="M1867" s="544"/>
      <c r="N1867" s="543"/>
      <c r="O1867" s="544"/>
      <c r="P1867" s="544"/>
      <c r="Q1867" s="544"/>
      <c r="R1867" s="544"/>
      <c r="S1867" s="544"/>
    </row>
    <row r="1868" ht="14.25" customHeight="1">
      <c r="A1868" s="542"/>
      <c r="B1868" s="543"/>
      <c r="C1868" s="543"/>
      <c r="D1868" s="544"/>
      <c r="E1868" s="544"/>
      <c r="F1868" s="544"/>
      <c r="G1868" s="544"/>
      <c r="H1868" s="544"/>
      <c r="I1868" s="543"/>
      <c r="J1868" s="543"/>
      <c r="K1868" s="544"/>
      <c r="L1868" s="543"/>
      <c r="M1868" s="544"/>
      <c r="N1868" s="543"/>
      <c r="O1868" s="544"/>
      <c r="P1868" s="544"/>
      <c r="Q1868" s="544"/>
      <c r="R1868" s="544"/>
      <c r="S1868" s="544"/>
    </row>
    <row r="1869" ht="14.25" customHeight="1">
      <c r="A1869" s="542"/>
      <c r="B1869" s="543"/>
      <c r="C1869" s="543"/>
      <c r="D1869" s="544"/>
      <c r="E1869" s="544"/>
      <c r="F1869" s="544"/>
      <c r="G1869" s="544"/>
      <c r="H1869" s="544"/>
      <c r="I1869" s="543"/>
      <c r="J1869" s="543"/>
      <c r="K1869" s="544"/>
      <c r="L1869" s="543"/>
      <c r="M1869" s="544"/>
      <c r="N1869" s="543"/>
      <c r="O1869" s="544"/>
      <c r="P1869" s="544"/>
      <c r="Q1869" s="544"/>
      <c r="R1869" s="544"/>
      <c r="S1869" s="544"/>
    </row>
    <row r="1870" ht="14.25" customHeight="1">
      <c r="A1870" s="542"/>
      <c r="B1870" s="543"/>
      <c r="C1870" s="543"/>
      <c r="D1870" s="544"/>
      <c r="E1870" s="544"/>
      <c r="F1870" s="544"/>
      <c r="G1870" s="544"/>
      <c r="H1870" s="544"/>
      <c r="I1870" s="543"/>
      <c r="J1870" s="543"/>
      <c r="K1870" s="544"/>
      <c r="L1870" s="543"/>
      <c r="M1870" s="544"/>
      <c r="N1870" s="543"/>
      <c r="O1870" s="544"/>
      <c r="P1870" s="544"/>
      <c r="Q1870" s="544"/>
      <c r="R1870" s="544"/>
      <c r="S1870" s="544"/>
    </row>
    <row r="1871" ht="14.25" customHeight="1">
      <c r="A1871" s="542"/>
      <c r="B1871" s="543"/>
      <c r="C1871" s="543"/>
      <c r="D1871" s="544"/>
      <c r="E1871" s="544"/>
      <c r="F1871" s="544"/>
      <c r="G1871" s="544"/>
      <c r="H1871" s="544"/>
      <c r="I1871" s="543"/>
      <c r="J1871" s="543"/>
      <c r="K1871" s="544"/>
      <c r="L1871" s="543"/>
      <c r="M1871" s="544"/>
      <c r="N1871" s="543"/>
      <c r="O1871" s="544"/>
      <c r="P1871" s="544"/>
      <c r="Q1871" s="544"/>
      <c r="R1871" s="544"/>
      <c r="S1871" s="544"/>
    </row>
    <row r="1872" ht="14.25" customHeight="1">
      <c r="A1872" s="542"/>
      <c r="B1872" s="543"/>
      <c r="C1872" s="543"/>
      <c r="D1872" s="544"/>
      <c r="E1872" s="544"/>
      <c r="F1872" s="544"/>
      <c r="G1872" s="544"/>
      <c r="H1872" s="544"/>
      <c r="I1872" s="543"/>
      <c r="J1872" s="543"/>
      <c r="K1872" s="544"/>
      <c r="L1872" s="543"/>
      <c r="M1872" s="544"/>
      <c r="N1872" s="543"/>
      <c r="O1872" s="544"/>
      <c r="P1872" s="544"/>
      <c r="Q1872" s="544"/>
      <c r="R1872" s="544"/>
      <c r="S1872" s="544"/>
    </row>
    <row r="1873" ht="14.25" customHeight="1">
      <c r="A1873" s="542"/>
      <c r="B1873" s="543"/>
      <c r="C1873" s="543"/>
      <c r="D1873" s="544"/>
      <c r="E1873" s="544"/>
      <c r="F1873" s="544"/>
      <c r="G1873" s="544"/>
      <c r="H1873" s="544"/>
      <c r="I1873" s="543"/>
      <c r="J1873" s="543"/>
      <c r="K1873" s="544"/>
      <c r="L1873" s="543"/>
      <c r="M1873" s="544"/>
      <c r="N1873" s="543"/>
      <c r="O1873" s="544"/>
      <c r="P1873" s="544"/>
      <c r="Q1873" s="544"/>
      <c r="R1873" s="544"/>
      <c r="S1873" s="544"/>
    </row>
    <row r="1874" ht="14.25" customHeight="1">
      <c r="A1874" s="542"/>
      <c r="B1874" s="543"/>
      <c r="C1874" s="543"/>
      <c r="D1874" s="544"/>
      <c r="E1874" s="544"/>
      <c r="F1874" s="544"/>
      <c r="G1874" s="544"/>
      <c r="H1874" s="544"/>
      <c r="I1874" s="543"/>
      <c r="J1874" s="543"/>
      <c r="K1874" s="544"/>
      <c r="L1874" s="543"/>
      <c r="M1874" s="544"/>
      <c r="N1874" s="543"/>
      <c r="O1874" s="544"/>
      <c r="P1874" s="544"/>
      <c r="Q1874" s="544"/>
      <c r="R1874" s="544"/>
      <c r="S1874" s="544"/>
    </row>
    <row r="1875" ht="14.25" customHeight="1">
      <c r="A1875" s="542"/>
      <c r="B1875" s="543"/>
      <c r="C1875" s="543"/>
      <c r="D1875" s="544"/>
      <c r="E1875" s="544"/>
      <c r="F1875" s="544"/>
      <c r="G1875" s="544"/>
      <c r="H1875" s="544"/>
      <c r="I1875" s="543"/>
      <c r="J1875" s="543"/>
      <c r="K1875" s="544"/>
      <c r="L1875" s="543"/>
      <c r="M1875" s="544"/>
      <c r="N1875" s="543"/>
      <c r="O1875" s="544"/>
      <c r="P1875" s="544"/>
      <c r="Q1875" s="544"/>
      <c r="R1875" s="544"/>
      <c r="S1875" s="544"/>
    </row>
    <row r="1876" ht="14.25" customHeight="1">
      <c r="A1876" s="542"/>
      <c r="B1876" s="543"/>
      <c r="C1876" s="543"/>
      <c r="D1876" s="544"/>
      <c r="E1876" s="544"/>
      <c r="F1876" s="544"/>
      <c r="G1876" s="544"/>
      <c r="H1876" s="544"/>
      <c r="I1876" s="543"/>
      <c r="J1876" s="543"/>
      <c r="K1876" s="544"/>
      <c r="L1876" s="543"/>
      <c r="M1876" s="544"/>
      <c r="N1876" s="543"/>
      <c r="O1876" s="544"/>
      <c r="P1876" s="544"/>
      <c r="Q1876" s="544"/>
      <c r="R1876" s="544"/>
      <c r="S1876" s="544"/>
    </row>
    <row r="1877" ht="14.25" customHeight="1">
      <c r="A1877" s="542"/>
      <c r="B1877" s="543"/>
      <c r="C1877" s="543"/>
      <c r="D1877" s="544"/>
      <c r="E1877" s="544"/>
      <c r="F1877" s="544"/>
      <c r="G1877" s="544"/>
      <c r="H1877" s="544"/>
      <c r="I1877" s="543"/>
      <c r="J1877" s="543"/>
      <c r="K1877" s="544"/>
      <c r="L1877" s="543"/>
      <c r="M1877" s="544"/>
      <c r="N1877" s="543"/>
      <c r="O1877" s="544"/>
      <c r="P1877" s="544"/>
      <c r="Q1877" s="544"/>
      <c r="R1877" s="544"/>
      <c r="S1877" s="544"/>
    </row>
    <row r="1878" ht="14.25" customHeight="1">
      <c r="A1878" s="542"/>
      <c r="B1878" s="543"/>
      <c r="C1878" s="543"/>
      <c r="D1878" s="544"/>
      <c r="E1878" s="544"/>
      <c r="F1878" s="544"/>
      <c r="G1878" s="544"/>
      <c r="H1878" s="544"/>
      <c r="I1878" s="543"/>
      <c r="J1878" s="543"/>
      <c r="K1878" s="544"/>
      <c r="L1878" s="543"/>
      <c r="M1878" s="544"/>
      <c r="N1878" s="543"/>
      <c r="O1878" s="544"/>
      <c r="P1878" s="544"/>
      <c r="Q1878" s="544"/>
      <c r="R1878" s="544"/>
      <c r="S1878" s="544"/>
    </row>
    <row r="1879" ht="14.25" customHeight="1">
      <c r="A1879" s="542"/>
      <c r="B1879" s="543"/>
      <c r="C1879" s="543"/>
      <c r="D1879" s="544"/>
      <c r="E1879" s="544"/>
      <c r="F1879" s="544"/>
      <c r="G1879" s="544"/>
      <c r="H1879" s="544"/>
      <c r="I1879" s="543"/>
      <c r="J1879" s="543"/>
      <c r="K1879" s="544"/>
      <c r="L1879" s="543"/>
      <c r="M1879" s="544"/>
      <c r="N1879" s="543"/>
      <c r="O1879" s="544"/>
      <c r="P1879" s="544"/>
      <c r="Q1879" s="544"/>
      <c r="R1879" s="544"/>
      <c r="S1879" s="544"/>
    </row>
    <row r="1880" ht="14.25" customHeight="1">
      <c r="A1880" s="542"/>
      <c r="B1880" s="543"/>
      <c r="C1880" s="543"/>
      <c r="D1880" s="544"/>
      <c r="E1880" s="544"/>
      <c r="F1880" s="544"/>
      <c r="G1880" s="544"/>
      <c r="H1880" s="544"/>
      <c r="I1880" s="543"/>
      <c r="J1880" s="543"/>
      <c r="K1880" s="544"/>
      <c r="L1880" s="543"/>
      <c r="M1880" s="544"/>
      <c r="N1880" s="543"/>
      <c r="O1880" s="544"/>
      <c r="P1880" s="544"/>
      <c r="Q1880" s="544"/>
      <c r="R1880" s="544"/>
      <c r="S1880" s="544"/>
    </row>
    <row r="1881" ht="14.25" customHeight="1">
      <c r="A1881" s="542"/>
      <c r="B1881" s="543"/>
      <c r="C1881" s="543"/>
      <c r="D1881" s="544"/>
      <c r="E1881" s="544"/>
      <c r="F1881" s="544"/>
      <c r="G1881" s="544"/>
      <c r="H1881" s="544"/>
      <c r="I1881" s="543"/>
      <c r="J1881" s="543"/>
      <c r="K1881" s="544"/>
      <c r="L1881" s="543"/>
      <c r="M1881" s="544"/>
      <c r="N1881" s="543"/>
      <c r="O1881" s="544"/>
      <c r="P1881" s="544"/>
      <c r="Q1881" s="544"/>
      <c r="R1881" s="544"/>
      <c r="S1881" s="544"/>
    </row>
    <row r="1882" ht="14.25" customHeight="1">
      <c r="A1882" s="542"/>
      <c r="B1882" s="543"/>
      <c r="C1882" s="543"/>
      <c r="D1882" s="544"/>
      <c r="E1882" s="544"/>
      <c r="F1882" s="544"/>
      <c r="G1882" s="544"/>
      <c r="H1882" s="544"/>
      <c r="I1882" s="543"/>
      <c r="J1882" s="543"/>
      <c r="K1882" s="544"/>
      <c r="L1882" s="543"/>
      <c r="M1882" s="544"/>
      <c r="N1882" s="543"/>
      <c r="O1882" s="544"/>
      <c r="P1882" s="544"/>
      <c r="Q1882" s="544"/>
      <c r="R1882" s="544"/>
      <c r="S1882" s="544"/>
    </row>
    <row r="1883" ht="14.25" customHeight="1">
      <c r="A1883" s="542"/>
      <c r="B1883" s="543"/>
      <c r="C1883" s="543"/>
      <c r="D1883" s="544"/>
      <c r="E1883" s="544"/>
      <c r="F1883" s="544"/>
      <c r="G1883" s="544"/>
      <c r="H1883" s="544"/>
      <c r="I1883" s="543"/>
      <c r="J1883" s="543"/>
      <c r="K1883" s="544"/>
      <c r="L1883" s="543"/>
      <c r="M1883" s="544"/>
      <c r="N1883" s="543"/>
      <c r="O1883" s="544"/>
      <c r="P1883" s="544"/>
      <c r="Q1883" s="544"/>
      <c r="R1883" s="544"/>
      <c r="S1883" s="544"/>
    </row>
    <row r="1884" ht="14.25" customHeight="1">
      <c r="A1884" s="542"/>
      <c r="B1884" s="543"/>
      <c r="C1884" s="543"/>
      <c r="D1884" s="544"/>
      <c r="E1884" s="544"/>
      <c r="F1884" s="544"/>
      <c r="G1884" s="544"/>
      <c r="H1884" s="544"/>
      <c r="I1884" s="543"/>
      <c r="J1884" s="543"/>
      <c r="K1884" s="544"/>
      <c r="L1884" s="543"/>
      <c r="M1884" s="544"/>
      <c r="N1884" s="543"/>
      <c r="O1884" s="544"/>
      <c r="P1884" s="544"/>
      <c r="Q1884" s="544"/>
      <c r="R1884" s="544"/>
      <c r="S1884" s="544"/>
    </row>
    <row r="1885" ht="14.25" customHeight="1">
      <c r="A1885" s="542"/>
      <c r="B1885" s="543"/>
      <c r="C1885" s="543"/>
      <c r="D1885" s="544"/>
      <c r="E1885" s="544"/>
      <c r="F1885" s="544"/>
      <c r="G1885" s="544"/>
      <c r="H1885" s="544"/>
      <c r="I1885" s="543"/>
      <c r="J1885" s="543"/>
      <c r="K1885" s="544"/>
      <c r="L1885" s="543"/>
      <c r="M1885" s="544"/>
      <c r="N1885" s="543"/>
      <c r="O1885" s="544"/>
      <c r="P1885" s="544"/>
      <c r="Q1885" s="544"/>
      <c r="R1885" s="544"/>
      <c r="S1885" s="544"/>
    </row>
    <row r="1886" ht="14.25" customHeight="1">
      <c r="A1886" s="542"/>
      <c r="B1886" s="543"/>
      <c r="C1886" s="543"/>
      <c r="D1886" s="544"/>
      <c r="E1886" s="544"/>
      <c r="F1886" s="544"/>
      <c r="G1886" s="544"/>
      <c r="H1886" s="544"/>
      <c r="I1886" s="543"/>
      <c r="J1886" s="543"/>
      <c r="K1886" s="544"/>
      <c r="L1886" s="543"/>
      <c r="M1886" s="544"/>
      <c r="N1886" s="543"/>
      <c r="O1886" s="544"/>
      <c r="P1886" s="544"/>
      <c r="Q1886" s="544"/>
      <c r="R1886" s="544"/>
      <c r="S1886" s="544"/>
    </row>
    <row r="1887" ht="14.25" customHeight="1">
      <c r="A1887" s="542"/>
      <c r="B1887" s="543"/>
      <c r="C1887" s="543"/>
      <c r="D1887" s="544"/>
      <c r="E1887" s="544"/>
      <c r="F1887" s="544"/>
      <c r="G1887" s="544"/>
      <c r="H1887" s="544"/>
      <c r="I1887" s="543"/>
      <c r="J1887" s="543"/>
      <c r="K1887" s="544"/>
      <c r="L1887" s="543"/>
      <c r="M1887" s="544"/>
      <c r="N1887" s="543"/>
      <c r="O1887" s="544"/>
      <c r="P1887" s="544"/>
      <c r="Q1887" s="544"/>
      <c r="R1887" s="544"/>
      <c r="S1887" s="544"/>
    </row>
    <row r="1888" ht="14.25" customHeight="1">
      <c r="A1888" s="542"/>
      <c r="B1888" s="543"/>
      <c r="C1888" s="543"/>
      <c r="D1888" s="544"/>
      <c r="E1888" s="544"/>
      <c r="F1888" s="544"/>
      <c r="G1888" s="544"/>
      <c r="H1888" s="544"/>
      <c r="I1888" s="543"/>
      <c r="J1888" s="543"/>
      <c r="K1888" s="544"/>
      <c r="L1888" s="543"/>
      <c r="M1888" s="544"/>
      <c r="N1888" s="543"/>
      <c r="O1888" s="544"/>
      <c r="P1888" s="544"/>
      <c r="Q1888" s="544"/>
      <c r="R1888" s="544"/>
      <c r="S1888" s="544"/>
    </row>
    <row r="1889" ht="14.25" customHeight="1">
      <c r="A1889" s="542"/>
      <c r="B1889" s="543"/>
      <c r="C1889" s="543"/>
      <c r="D1889" s="544"/>
      <c r="E1889" s="544"/>
      <c r="F1889" s="544"/>
      <c r="G1889" s="544"/>
      <c r="H1889" s="544"/>
      <c r="I1889" s="543"/>
      <c r="J1889" s="543"/>
      <c r="K1889" s="544"/>
      <c r="L1889" s="543"/>
      <c r="M1889" s="544"/>
      <c r="N1889" s="543"/>
      <c r="O1889" s="544"/>
      <c r="P1889" s="544"/>
      <c r="Q1889" s="544"/>
      <c r="R1889" s="544"/>
      <c r="S1889" s="544"/>
    </row>
    <row r="1890" ht="14.25" customHeight="1">
      <c r="A1890" s="542"/>
      <c r="B1890" s="543"/>
      <c r="C1890" s="543"/>
      <c r="D1890" s="544"/>
      <c r="E1890" s="544"/>
      <c r="F1890" s="544"/>
      <c r="G1890" s="544"/>
      <c r="H1890" s="544"/>
      <c r="I1890" s="543"/>
      <c r="J1890" s="543"/>
      <c r="K1890" s="544"/>
      <c r="L1890" s="543"/>
      <c r="M1890" s="544"/>
      <c r="N1890" s="543"/>
      <c r="O1890" s="544"/>
      <c r="P1890" s="544"/>
      <c r="Q1890" s="544"/>
      <c r="R1890" s="544"/>
      <c r="S1890" s="544"/>
    </row>
    <row r="1891" ht="14.25" customHeight="1">
      <c r="A1891" s="542"/>
      <c r="B1891" s="543"/>
      <c r="C1891" s="543"/>
      <c r="D1891" s="544"/>
      <c r="E1891" s="544"/>
      <c r="F1891" s="544"/>
      <c r="G1891" s="544"/>
      <c r="H1891" s="544"/>
      <c r="I1891" s="543"/>
      <c r="J1891" s="543"/>
      <c r="K1891" s="544"/>
      <c r="L1891" s="543"/>
      <c r="M1891" s="544"/>
      <c r="N1891" s="543"/>
      <c r="O1891" s="544"/>
      <c r="P1891" s="544"/>
      <c r="Q1891" s="544"/>
      <c r="R1891" s="544"/>
      <c r="S1891" s="544"/>
    </row>
    <row r="1892" ht="14.25" customHeight="1">
      <c r="A1892" s="542"/>
      <c r="B1892" s="543"/>
      <c r="C1892" s="543"/>
      <c r="D1892" s="544"/>
      <c r="E1892" s="544"/>
      <c r="F1892" s="544"/>
      <c r="G1892" s="544"/>
      <c r="H1892" s="544"/>
      <c r="I1892" s="543"/>
      <c r="J1892" s="543"/>
      <c r="K1892" s="544"/>
      <c r="L1892" s="543"/>
      <c r="M1892" s="544"/>
      <c r="N1892" s="543"/>
      <c r="O1892" s="544"/>
      <c r="P1892" s="544"/>
      <c r="Q1892" s="544"/>
      <c r="R1892" s="544"/>
      <c r="S1892" s="544"/>
    </row>
    <row r="1893" ht="14.25" customHeight="1">
      <c r="A1893" s="542"/>
      <c r="B1893" s="543"/>
      <c r="C1893" s="543"/>
      <c r="D1893" s="544"/>
      <c r="E1893" s="544"/>
      <c r="F1893" s="544"/>
      <c r="G1893" s="544"/>
      <c r="H1893" s="544"/>
      <c r="I1893" s="543"/>
      <c r="J1893" s="543"/>
      <c r="K1893" s="544"/>
      <c r="L1893" s="543"/>
      <c r="M1893" s="544"/>
      <c r="N1893" s="543"/>
      <c r="O1893" s="544"/>
      <c r="P1893" s="544"/>
      <c r="Q1893" s="544"/>
      <c r="R1893" s="544"/>
      <c r="S1893" s="544"/>
    </row>
    <row r="1894" ht="14.25" customHeight="1">
      <c r="A1894" s="542"/>
      <c r="B1894" s="543"/>
      <c r="C1894" s="543"/>
      <c r="D1894" s="544"/>
      <c r="E1894" s="544"/>
      <c r="F1894" s="544"/>
      <c r="G1894" s="544"/>
      <c r="H1894" s="544"/>
      <c r="I1894" s="543"/>
      <c r="J1894" s="543"/>
      <c r="K1894" s="544"/>
      <c r="L1894" s="543"/>
      <c r="M1894" s="544"/>
      <c r="N1894" s="543"/>
      <c r="O1894" s="544"/>
      <c r="P1894" s="544"/>
      <c r="Q1894" s="544"/>
      <c r="R1894" s="544"/>
      <c r="S1894" s="544"/>
    </row>
    <row r="1895" ht="14.25" customHeight="1">
      <c r="A1895" s="542"/>
      <c r="B1895" s="543"/>
      <c r="C1895" s="543"/>
      <c r="D1895" s="544"/>
      <c r="E1895" s="544"/>
      <c r="F1895" s="544"/>
      <c r="G1895" s="544"/>
      <c r="H1895" s="544"/>
      <c r="I1895" s="543"/>
      <c r="J1895" s="543"/>
      <c r="K1895" s="544"/>
      <c r="L1895" s="543"/>
      <c r="M1895" s="544"/>
      <c r="N1895" s="543"/>
      <c r="O1895" s="544"/>
      <c r="P1895" s="544"/>
      <c r="Q1895" s="544"/>
      <c r="R1895" s="544"/>
      <c r="S1895" s="544"/>
    </row>
    <row r="1896" ht="14.25" customHeight="1">
      <c r="A1896" s="542"/>
      <c r="B1896" s="543"/>
      <c r="C1896" s="543"/>
      <c r="D1896" s="544"/>
      <c r="E1896" s="544"/>
      <c r="F1896" s="544"/>
      <c r="G1896" s="544"/>
      <c r="H1896" s="544"/>
      <c r="I1896" s="543"/>
      <c r="J1896" s="543"/>
      <c r="K1896" s="544"/>
      <c r="L1896" s="543"/>
      <c r="M1896" s="544"/>
      <c r="N1896" s="543"/>
      <c r="O1896" s="544"/>
      <c r="P1896" s="544"/>
      <c r="Q1896" s="544"/>
      <c r="R1896" s="544"/>
      <c r="S1896" s="544"/>
    </row>
    <row r="1897" ht="14.25" customHeight="1">
      <c r="A1897" s="542"/>
      <c r="B1897" s="543"/>
      <c r="C1897" s="543"/>
      <c r="D1897" s="544"/>
      <c r="E1897" s="544"/>
      <c r="F1897" s="544"/>
      <c r="G1897" s="544"/>
      <c r="H1897" s="544"/>
      <c r="I1897" s="543"/>
      <c r="J1897" s="543"/>
      <c r="K1897" s="544"/>
      <c r="L1897" s="543"/>
      <c r="M1897" s="544"/>
      <c r="N1897" s="543"/>
      <c r="O1897" s="544"/>
      <c r="P1897" s="544"/>
      <c r="Q1897" s="544"/>
      <c r="R1897" s="544"/>
      <c r="S1897" s="544"/>
    </row>
    <row r="1898" ht="14.25" customHeight="1">
      <c r="A1898" s="542"/>
      <c r="B1898" s="543"/>
      <c r="C1898" s="543"/>
      <c r="D1898" s="544"/>
      <c r="E1898" s="544"/>
      <c r="F1898" s="544"/>
      <c r="G1898" s="544"/>
      <c r="H1898" s="544"/>
      <c r="I1898" s="543"/>
      <c r="J1898" s="543"/>
      <c r="K1898" s="544"/>
      <c r="L1898" s="543"/>
      <c r="M1898" s="544"/>
      <c r="N1898" s="543"/>
      <c r="O1898" s="544"/>
      <c r="P1898" s="544"/>
      <c r="Q1898" s="544"/>
      <c r="R1898" s="544"/>
      <c r="S1898" s="544"/>
    </row>
    <row r="1899" ht="14.25" customHeight="1">
      <c r="A1899" s="542"/>
      <c r="B1899" s="543"/>
      <c r="C1899" s="543"/>
      <c r="D1899" s="544"/>
      <c r="E1899" s="544"/>
      <c r="F1899" s="544"/>
      <c r="G1899" s="544"/>
      <c r="H1899" s="544"/>
      <c r="I1899" s="543"/>
      <c r="J1899" s="543"/>
      <c r="K1899" s="544"/>
      <c r="L1899" s="543"/>
      <c r="M1899" s="544"/>
      <c r="N1899" s="543"/>
      <c r="O1899" s="544"/>
      <c r="P1899" s="544"/>
      <c r="Q1899" s="544"/>
      <c r="R1899" s="544"/>
      <c r="S1899" s="544"/>
    </row>
    <row r="1900" ht="14.25" customHeight="1">
      <c r="A1900" s="542"/>
      <c r="B1900" s="543"/>
      <c r="C1900" s="543"/>
      <c r="D1900" s="544"/>
      <c r="E1900" s="544"/>
      <c r="F1900" s="544"/>
      <c r="G1900" s="544"/>
      <c r="H1900" s="544"/>
      <c r="I1900" s="543"/>
      <c r="J1900" s="543"/>
      <c r="K1900" s="544"/>
      <c r="L1900" s="543"/>
      <c r="M1900" s="544"/>
      <c r="N1900" s="543"/>
      <c r="O1900" s="544"/>
      <c r="P1900" s="544"/>
      <c r="Q1900" s="544"/>
      <c r="R1900" s="544"/>
      <c r="S1900" s="544"/>
    </row>
    <row r="1901" ht="14.25" customHeight="1">
      <c r="A1901" s="542"/>
      <c r="B1901" s="543"/>
      <c r="C1901" s="543"/>
      <c r="D1901" s="544"/>
      <c r="E1901" s="544"/>
      <c r="F1901" s="544"/>
      <c r="G1901" s="544"/>
      <c r="H1901" s="544"/>
      <c r="I1901" s="543"/>
      <c r="J1901" s="543"/>
      <c r="K1901" s="544"/>
      <c r="L1901" s="543"/>
      <c r="M1901" s="544"/>
      <c r="N1901" s="543"/>
      <c r="O1901" s="544"/>
      <c r="P1901" s="544"/>
      <c r="Q1901" s="544"/>
      <c r="R1901" s="544"/>
      <c r="S1901" s="544"/>
    </row>
    <row r="1902" ht="14.25" customHeight="1">
      <c r="A1902" s="542"/>
      <c r="B1902" s="543"/>
      <c r="C1902" s="543"/>
      <c r="D1902" s="544"/>
      <c r="E1902" s="544"/>
      <c r="F1902" s="544"/>
      <c r="G1902" s="544"/>
      <c r="H1902" s="544"/>
      <c r="I1902" s="543"/>
      <c r="J1902" s="543"/>
      <c r="K1902" s="544"/>
      <c r="L1902" s="543"/>
      <c r="M1902" s="544"/>
      <c r="N1902" s="543"/>
      <c r="O1902" s="544"/>
      <c r="P1902" s="544"/>
      <c r="Q1902" s="544"/>
      <c r="R1902" s="544"/>
      <c r="S1902" s="544"/>
    </row>
    <row r="1903" ht="14.25" customHeight="1">
      <c r="A1903" s="542"/>
      <c r="B1903" s="543"/>
      <c r="C1903" s="543"/>
      <c r="D1903" s="544"/>
      <c r="E1903" s="544"/>
      <c r="F1903" s="544"/>
      <c r="G1903" s="544"/>
      <c r="H1903" s="544"/>
      <c r="I1903" s="543"/>
      <c r="J1903" s="543"/>
      <c r="K1903" s="544"/>
      <c r="L1903" s="543"/>
      <c r="M1903" s="544"/>
      <c r="N1903" s="543"/>
      <c r="O1903" s="544"/>
      <c r="P1903" s="544"/>
      <c r="Q1903" s="544"/>
      <c r="R1903" s="544"/>
      <c r="S1903" s="544"/>
    </row>
    <row r="1904" ht="14.25" customHeight="1">
      <c r="A1904" s="542"/>
      <c r="B1904" s="543"/>
      <c r="C1904" s="543"/>
      <c r="D1904" s="544"/>
      <c r="E1904" s="544"/>
      <c r="F1904" s="544"/>
      <c r="G1904" s="544"/>
      <c r="H1904" s="544"/>
      <c r="I1904" s="543"/>
      <c r="J1904" s="543"/>
      <c r="K1904" s="544"/>
      <c r="L1904" s="543"/>
      <c r="M1904" s="544"/>
      <c r="N1904" s="543"/>
      <c r="O1904" s="544"/>
      <c r="P1904" s="544"/>
      <c r="Q1904" s="544"/>
      <c r="R1904" s="544"/>
      <c r="S1904" s="544"/>
    </row>
    <row r="1905" ht="14.25" customHeight="1">
      <c r="A1905" s="542"/>
      <c r="B1905" s="543"/>
      <c r="C1905" s="543"/>
      <c r="D1905" s="544"/>
      <c r="E1905" s="544"/>
      <c r="F1905" s="544"/>
      <c r="G1905" s="544"/>
      <c r="H1905" s="544"/>
      <c r="I1905" s="543"/>
      <c r="J1905" s="543"/>
      <c r="K1905" s="544"/>
      <c r="L1905" s="543"/>
      <c r="M1905" s="544"/>
      <c r="N1905" s="543"/>
      <c r="O1905" s="544"/>
      <c r="P1905" s="544"/>
      <c r="Q1905" s="544"/>
      <c r="R1905" s="544"/>
      <c r="S1905" s="544"/>
    </row>
    <row r="1906" ht="14.25" customHeight="1">
      <c r="A1906" s="542"/>
      <c r="B1906" s="543"/>
      <c r="C1906" s="543"/>
      <c r="D1906" s="544"/>
      <c r="E1906" s="544"/>
      <c r="F1906" s="544"/>
      <c r="G1906" s="544"/>
      <c r="H1906" s="544"/>
      <c r="I1906" s="543"/>
      <c r="J1906" s="543"/>
      <c r="K1906" s="544"/>
      <c r="L1906" s="543"/>
      <c r="M1906" s="544"/>
      <c r="N1906" s="543"/>
      <c r="O1906" s="544"/>
      <c r="P1906" s="544"/>
      <c r="Q1906" s="544"/>
      <c r="R1906" s="544"/>
      <c r="S1906" s="544"/>
    </row>
    <row r="1907" ht="14.25" customHeight="1">
      <c r="A1907" s="542"/>
      <c r="B1907" s="543"/>
      <c r="C1907" s="543"/>
      <c r="D1907" s="544"/>
      <c r="E1907" s="544"/>
      <c r="F1907" s="544"/>
      <c r="G1907" s="544"/>
      <c r="H1907" s="544"/>
      <c r="I1907" s="543"/>
      <c r="J1907" s="543"/>
      <c r="K1907" s="544"/>
      <c r="L1907" s="543"/>
      <c r="M1907" s="544"/>
      <c r="N1907" s="543"/>
      <c r="O1907" s="544"/>
      <c r="P1907" s="544"/>
      <c r="Q1907" s="544"/>
      <c r="R1907" s="544"/>
      <c r="S1907" s="544"/>
    </row>
    <row r="1908" ht="14.25" customHeight="1">
      <c r="A1908" s="542"/>
      <c r="B1908" s="543"/>
      <c r="C1908" s="543"/>
      <c r="D1908" s="544"/>
      <c r="E1908" s="544"/>
      <c r="F1908" s="544"/>
      <c r="G1908" s="544"/>
      <c r="H1908" s="544"/>
      <c r="I1908" s="543"/>
      <c r="J1908" s="543"/>
      <c r="K1908" s="544"/>
      <c r="L1908" s="543"/>
      <c r="M1908" s="544"/>
      <c r="N1908" s="543"/>
      <c r="O1908" s="544"/>
      <c r="P1908" s="544"/>
      <c r="Q1908" s="544"/>
      <c r="R1908" s="544"/>
      <c r="S1908" s="544"/>
    </row>
    <row r="1909" ht="14.25" customHeight="1">
      <c r="A1909" s="542"/>
      <c r="B1909" s="543"/>
      <c r="C1909" s="543"/>
      <c r="D1909" s="544"/>
      <c r="E1909" s="544"/>
      <c r="F1909" s="544"/>
      <c r="G1909" s="544"/>
      <c r="H1909" s="544"/>
      <c r="I1909" s="543"/>
      <c r="J1909" s="543"/>
      <c r="K1909" s="544"/>
      <c r="L1909" s="543"/>
      <c r="M1909" s="544"/>
      <c r="N1909" s="543"/>
      <c r="O1909" s="544"/>
      <c r="P1909" s="544"/>
      <c r="Q1909" s="544"/>
      <c r="R1909" s="544"/>
      <c r="S1909" s="544"/>
    </row>
    <row r="1910" ht="14.25" customHeight="1">
      <c r="A1910" s="542"/>
      <c r="B1910" s="543"/>
      <c r="C1910" s="543"/>
      <c r="D1910" s="544"/>
      <c r="E1910" s="544"/>
      <c r="F1910" s="544"/>
      <c r="G1910" s="544"/>
      <c r="H1910" s="544"/>
      <c r="I1910" s="543"/>
      <c r="J1910" s="543"/>
      <c r="K1910" s="544"/>
      <c r="L1910" s="543"/>
      <c r="M1910" s="544"/>
      <c r="N1910" s="543"/>
      <c r="O1910" s="544"/>
      <c r="P1910" s="544"/>
      <c r="Q1910" s="544"/>
      <c r="R1910" s="544"/>
      <c r="S1910" s="544"/>
    </row>
    <row r="1911" ht="14.25" customHeight="1">
      <c r="A1911" s="542"/>
      <c r="B1911" s="543"/>
      <c r="C1911" s="543"/>
      <c r="D1911" s="544"/>
      <c r="E1911" s="544"/>
      <c r="F1911" s="544"/>
      <c r="G1911" s="544"/>
      <c r="H1911" s="544"/>
      <c r="I1911" s="543"/>
      <c r="J1911" s="543"/>
      <c r="K1911" s="544"/>
      <c r="L1911" s="543"/>
      <c r="M1911" s="544"/>
      <c r="N1911" s="543"/>
      <c r="O1911" s="544"/>
      <c r="P1911" s="544"/>
      <c r="Q1911" s="544"/>
      <c r="R1911" s="544"/>
      <c r="S1911" s="544"/>
    </row>
    <row r="1912" ht="14.25" customHeight="1">
      <c r="A1912" s="542"/>
      <c r="B1912" s="543"/>
      <c r="C1912" s="543"/>
      <c r="D1912" s="544"/>
      <c r="E1912" s="544"/>
      <c r="F1912" s="544"/>
      <c r="G1912" s="544"/>
      <c r="H1912" s="544"/>
      <c r="I1912" s="543"/>
      <c r="J1912" s="543"/>
      <c r="K1912" s="544"/>
      <c r="L1912" s="543"/>
      <c r="M1912" s="544"/>
      <c r="N1912" s="543"/>
      <c r="O1912" s="544"/>
      <c r="P1912" s="544"/>
      <c r="Q1912" s="544"/>
      <c r="R1912" s="544"/>
      <c r="S1912" s="544"/>
    </row>
    <row r="1913" ht="14.25" customHeight="1">
      <c r="A1913" s="542"/>
      <c r="B1913" s="543"/>
      <c r="C1913" s="543"/>
      <c r="D1913" s="544"/>
      <c r="E1913" s="544"/>
      <c r="F1913" s="544"/>
      <c r="G1913" s="544"/>
      <c r="H1913" s="544"/>
      <c r="I1913" s="543"/>
      <c r="J1913" s="543"/>
      <c r="K1913" s="544"/>
      <c r="L1913" s="543"/>
      <c r="M1913" s="544"/>
      <c r="N1913" s="543"/>
      <c r="O1913" s="544"/>
      <c r="P1913" s="544"/>
      <c r="Q1913" s="544"/>
      <c r="R1913" s="544"/>
      <c r="S1913" s="544"/>
    </row>
    <row r="1914" ht="14.25" customHeight="1">
      <c r="A1914" s="542"/>
      <c r="B1914" s="543"/>
      <c r="C1914" s="543"/>
      <c r="D1914" s="544"/>
      <c r="E1914" s="544"/>
      <c r="F1914" s="544"/>
      <c r="G1914" s="544"/>
      <c r="H1914" s="544"/>
      <c r="I1914" s="543"/>
      <c r="J1914" s="543"/>
      <c r="K1914" s="544"/>
      <c r="L1914" s="543"/>
      <c r="M1914" s="544"/>
      <c r="N1914" s="543"/>
      <c r="O1914" s="544"/>
      <c r="P1914" s="544"/>
      <c r="Q1914" s="544"/>
      <c r="R1914" s="544"/>
      <c r="S1914" s="544"/>
    </row>
    <row r="1915" ht="14.25" customHeight="1">
      <c r="A1915" s="542"/>
      <c r="B1915" s="543"/>
      <c r="C1915" s="543"/>
      <c r="D1915" s="544"/>
      <c r="E1915" s="544"/>
      <c r="F1915" s="544"/>
      <c r="G1915" s="544"/>
      <c r="H1915" s="544"/>
      <c r="I1915" s="543"/>
      <c r="J1915" s="543"/>
      <c r="K1915" s="544"/>
      <c r="L1915" s="543"/>
      <c r="M1915" s="544"/>
      <c r="N1915" s="543"/>
      <c r="O1915" s="544"/>
      <c r="P1915" s="544"/>
      <c r="Q1915" s="544"/>
      <c r="R1915" s="544"/>
      <c r="S1915" s="544"/>
    </row>
    <row r="1916" ht="14.25" customHeight="1">
      <c r="A1916" s="542"/>
      <c r="B1916" s="543"/>
      <c r="C1916" s="543"/>
      <c r="D1916" s="544"/>
      <c r="E1916" s="544"/>
      <c r="F1916" s="544"/>
      <c r="G1916" s="544"/>
      <c r="H1916" s="544"/>
      <c r="I1916" s="543"/>
      <c r="J1916" s="543"/>
      <c r="K1916" s="544"/>
      <c r="L1916" s="543"/>
      <c r="M1916" s="544"/>
      <c r="N1916" s="543"/>
      <c r="O1916" s="544"/>
      <c r="P1916" s="544"/>
      <c r="Q1916" s="544"/>
      <c r="R1916" s="544"/>
      <c r="S1916" s="544"/>
    </row>
    <row r="1917" ht="14.25" customHeight="1">
      <c r="A1917" s="542"/>
      <c r="B1917" s="543"/>
      <c r="C1917" s="543"/>
      <c r="D1917" s="544"/>
      <c r="E1917" s="544"/>
      <c r="F1917" s="544"/>
      <c r="G1917" s="544"/>
      <c r="H1917" s="544"/>
      <c r="I1917" s="543"/>
      <c r="J1917" s="543"/>
      <c r="K1917" s="544"/>
      <c r="L1917" s="543"/>
      <c r="M1917" s="544"/>
      <c r="N1917" s="543"/>
      <c r="O1917" s="544"/>
      <c r="P1917" s="544"/>
      <c r="Q1917" s="544"/>
      <c r="R1917" s="544"/>
      <c r="S1917" s="544"/>
    </row>
    <row r="1918" ht="14.25" customHeight="1">
      <c r="A1918" s="542"/>
      <c r="B1918" s="543"/>
      <c r="C1918" s="543"/>
      <c r="D1918" s="544"/>
      <c r="E1918" s="544"/>
      <c r="F1918" s="544"/>
      <c r="G1918" s="544"/>
      <c r="H1918" s="544"/>
      <c r="I1918" s="543"/>
      <c r="J1918" s="543"/>
      <c r="K1918" s="544"/>
      <c r="L1918" s="543"/>
      <c r="M1918" s="544"/>
      <c r="N1918" s="543"/>
      <c r="O1918" s="544"/>
      <c r="P1918" s="544"/>
      <c r="Q1918" s="544"/>
      <c r="R1918" s="544"/>
      <c r="S1918" s="544"/>
    </row>
    <row r="1919" ht="14.25" customHeight="1">
      <c r="A1919" s="542"/>
      <c r="B1919" s="543"/>
      <c r="C1919" s="543"/>
      <c r="D1919" s="544"/>
      <c r="E1919" s="544"/>
      <c r="F1919" s="544"/>
      <c r="G1919" s="544"/>
      <c r="H1919" s="544"/>
      <c r="I1919" s="543"/>
      <c r="J1919" s="543"/>
      <c r="K1919" s="544"/>
      <c r="L1919" s="543"/>
      <c r="M1919" s="544"/>
      <c r="N1919" s="543"/>
      <c r="O1919" s="544"/>
      <c r="P1919" s="544"/>
      <c r="Q1919" s="544"/>
      <c r="R1919" s="544"/>
      <c r="S1919" s="544"/>
    </row>
    <row r="1920" ht="14.25" customHeight="1">
      <c r="A1920" s="542"/>
      <c r="B1920" s="543"/>
      <c r="C1920" s="543"/>
      <c r="D1920" s="544"/>
      <c r="E1920" s="544"/>
      <c r="F1920" s="544"/>
      <c r="G1920" s="544"/>
      <c r="H1920" s="544"/>
      <c r="I1920" s="543"/>
      <c r="J1920" s="543"/>
      <c r="K1920" s="544"/>
      <c r="L1920" s="543"/>
      <c r="M1920" s="544"/>
      <c r="N1920" s="543"/>
      <c r="O1920" s="544"/>
      <c r="P1920" s="544"/>
      <c r="Q1920" s="544"/>
      <c r="R1920" s="544"/>
      <c r="S1920" s="544"/>
    </row>
    <row r="1921" ht="14.25" customHeight="1">
      <c r="A1921" s="542"/>
      <c r="B1921" s="543"/>
      <c r="C1921" s="543"/>
      <c r="D1921" s="544"/>
      <c r="E1921" s="544"/>
      <c r="F1921" s="544"/>
      <c r="G1921" s="544"/>
      <c r="H1921" s="544"/>
      <c r="I1921" s="543"/>
      <c r="J1921" s="543"/>
      <c r="K1921" s="544"/>
      <c r="L1921" s="543"/>
      <c r="M1921" s="544"/>
      <c r="N1921" s="543"/>
      <c r="O1921" s="544"/>
      <c r="P1921" s="544"/>
      <c r="Q1921" s="544"/>
      <c r="R1921" s="544"/>
      <c r="S1921" s="544"/>
    </row>
    <row r="1922" ht="14.25" customHeight="1">
      <c r="A1922" s="542"/>
      <c r="B1922" s="543"/>
      <c r="C1922" s="543"/>
      <c r="D1922" s="544"/>
      <c r="E1922" s="544"/>
      <c r="F1922" s="544"/>
      <c r="G1922" s="544"/>
      <c r="H1922" s="544"/>
      <c r="I1922" s="543"/>
      <c r="J1922" s="543"/>
      <c r="K1922" s="544"/>
      <c r="L1922" s="543"/>
      <c r="M1922" s="544"/>
      <c r="N1922" s="543"/>
      <c r="O1922" s="544"/>
      <c r="P1922" s="544"/>
      <c r="Q1922" s="544"/>
      <c r="R1922" s="544"/>
      <c r="S1922" s="544"/>
    </row>
    <row r="1923" ht="14.25" customHeight="1">
      <c r="A1923" s="542"/>
      <c r="B1923" s="543"/>
      <c r="C1923" s="543"/>
      <c r="D1923" s="544"/>
      <c r="E1923" s="544"/>
      <c r="F1923" s="544"/>
      <c r="G1923" s="544"/>
      <c r="H1923" s="544"/>
      <c r="I1923" s="543"/>
      <c r="J1923" s="543"/>
      <c r="K1923" s="544"/>
      <c r="L1923" s="543"/>
      <c r="M1923" s="544"/>
      <c r="N1923" s="543"/>
      <c r="O1923" s="544"/>
      <c r="P1923" s="544"/>
      <c r="Q1923" s="544"/>
      <c r="R1923" s="544"/>
      <c r="S1923" s="544"/>
    </row>
    <row r="1924" ht="14.25" customHeight="1">
      <c r="A1924" s="542"/>
      <c r="B1924" s="543"/>
      <c r="C1924" s="543"/>
      <c r="D1924" s="544"/>
      <c r="E1924" s="544"/>
      <c r="F1924" s="544"/>
      <c r="G1924" s="544"/>
      <c r="H1924" s="544"/>
      <c r="I1924" s="543"/>
      <c r="J1924" s="543"/>
      <c r="K1924" s="544"/>
      <c r="L1924" s="543"/>
      <c r="M1924" s="544"/>
      <c r="N1924" s="543"/>
      <c r="O1924" s="544"/>
      <c r="P1924" s="544"/>
      <c r="Q1924" s="544"/>
      <c r="R1924" s="544"/>
      <c r="S1924" s="544"/>
    </row>
    <row r="1925" ht="14.25" customHeight="1">
      <c r="A1925" s="542"/>
      <c r="B1925" s="543"/>
      <c r="C1925" s="543"/>
      <c r="D1925" s="544"/>
      <c r="E1925" s="544"/>
      <c r="F1925" s="544"/>
      <c r="G1925" s="544"/>
      <c r="H1925" s="544"/>
      <c r="I1925" s="543"/>
      <c r="J1925" s="543"/>
      <c r="K1925" s="544"/>
      <c r="L1925" s="543"/>
      <c r="M1925" s="544"/>
      <c r="N1925" s="543"/>
      <c r="O1925" s="544"/>
      <c r="P1925" s="544"/>
      <c r="Q1925" s="544"/>
      <c r="R1925" s="544"/>
      <c r="S1925" s="544"/>
    </row>
    <row r="1926" ht="14.25" customHeight="1">
      <c r="A1926" s="542"/>
      <c r="B1926" s="543"/>
      <c r="C1926" s="543"/>
      <c r="D1926" s="544"/>
      <c r="E1926" s="544"/>
      <c r="F1926" s="544"/>
      <c r="G1926" s="544"/>
      <c r="H1926" s="544"/>
      <c r="I1926" s="543"/>
      <c r="J1926" s="543"/>
      <c r="K1926" s="544"/>
      <c r="L1926" s="543"/>
      <c r="M1926" s="544"/>
      <c r="N1926" s="543"/>
      <c r="O1926" s="544"/>
      <c r="P1926" s="544"/>
      <c r="Q1926" s="544"/>
      <c r="R1926" s="544"/>
      <c r="S1926" s="544"/>
    </row>
    <row r="1927" ht="14.25" customHeight="1">
      <c r="A1927" s="542"/>
      <c r="B1927" s="543"/>
      <c r="C1927" s="543"/>
      <c r="D1927" s="544"/>
      <c r="E1927" s="544"/>
      <c r="F1927" s="544"/>
      <c r="G1927" s="544"/>
      <c r="H1927" s="544"/>
      <c r="I1927" s="543"/>
      <c r="J1927" s="543"/>
      <c r="K1927" s="544"/>
      <c r="L1927" s="543"/>
      <c r="M1927" s="544"/>
      <c r="N1927" s="543"/>
      <c r="O1927" s="544"/>
      <c r="P1927" s="544"/>
      <c r="Q1927" s="544"/>
      <c r="R1927" s="544"/>
      <c r="S1927" s="544"/>
    </row>
    <row r="1928" ht="14.25" customHeight="1">
      <c r="A1928" s="542"/>
      <c r="B1928" s="543"/>
      <c r="C1928" s="543"/>
      <c r="D1928" s="544"/>
      <c r="E1928" s="544"/>
      <c r="F1928" s="544"/>
      <c r="G1928" s="544"/>
      <c r="H1928" s="544"/>
      <c r="I1928" s="543"/>
      <c r="J1928" s="543"/>
      <c r="K1928" s="544"/>
      <c r="L1928" s="543"/>
      <c r="M1928" s="544"/>
      <c r="N1928" s="543"/>
      <c r="O1928" s="544"/>
      <c r="P1928" s="544"/>
      <c r="Q1928" s="544"/>
      <c r="R1928" s="544"/>
      <c r="S1928" s="544"/>
    </row>
    <row r="1929" ht="14.25" customHeight="1">
      <c r="A1929" s="542"/>
      <c r="B1929" s="543"/>
      <c r="C1929" s="543"/>
      <c r="D1929" s="544"/>
      <c r="E1929" s="544"/>
      <c r="F1929" s="544"/>
      <c r="G1929" s="544"/>
      <c r="H1929" s="544"/>
      <c r="I1929" s="543"/>
      <c r="J1929" s="543"/>
      <c r="K1929" s="544"/>
      <c r="L1929" s="543"/>
      <c r="M1929" s="544"/>
      <c r="N1929" s="543"/>
      <c r="O1929" s="544"/>
      <c r="P1929" s="544"/>
      <c r="Q1929" s="544"/>
      <c r="R1929" s="544"/>
      <c r="S1929" s="544"/>
    </row>
    <row r="1930" ht="14.25" customHeight="1">
      <c r="A1930" s="542"/>
      <c r="B1930" s="543"/>
      <c r="C1930" s="543"/>
      <c r="D1930" s="544"/>
      <c r="E1930" s="544"/>
      <c r="F1930" s="544"/>
      <c r="G1930" s="544"/>
      <c r="H1930" s="544"/>
      <c r="I1930" s="543"/>
      <c r="J1930" s="543"/>
      <c r="K1930" s="544"/>
      <c r="L1930" s="543"/>
      <c r="M1930" s="544"/>
      <c r="N1930" s="543"/>
      <c r="O1930" s="544"/>
      <c r="P1930" s="544"/>
      <c r="Q1930" s="544"/>
      <c r="R1930" s="544"/>
      <c r="S1930" s="544"/>
    </row>
    <row r="1931" ht="14.25" customHeight="1">
      <c r="A1931" s="542"/>
      <c r="B1931" s="543"/>
      <c r="C1931" s="543"/>
      <c r="D1931" s="544"/>
      <c r="E1931" s="544"/>
      <c r="F1931" s="544"/>
      <c r="G1931" s="544"/>
      <c r="H1931" s="544"/>
      <c r="I1931" s="543"/>
      <c r="J1931" s="543"/>
      <c r="K1931" s="544"/>
      <c r="L1931" s="543"/>
      <c r="M1931" s="544"/>
      <c r="N1931" s="543"/>
      <c r="O1931" s="544"/>
      <c r="P1931" s="544"/>
      <c r="Q1931" s="544"/>
      <c r="R1931" s="544"/>
      <c r="S1931" s="544"/>
    </row>
    <row r="1932" ht="14.25" customHeight="1">
      <c r="A1932" s="542"/>
      <c r="B1932" s="543"/>
      <c r="C1932" s="543"/>
      <c r="D1932" s="544"/>
      <c r="E1932" s="544"/>
      <c r="F1932" s="544"/>
      <c r="G1932" s="544"/>
      <c r="H1932" s="544"/>
      <c r="I1932" s="543"/>
      <c r="J1932" s="543"/>
      <c r="K1932" s="544"/>
      <c r="L1932" s="543"/>
      <c r="M1932" s="544"/>
      <c r="N1932" s="543"/>
      <c r="O1932" s="544"/>
      <c r="P1932" s="544"/>
      <c r="Q1932" s="544"/>
      <c r="R1932" s="544"/>
      <c r="S1932" s="544"/>
    </row>
    <row r="1933" ht="14.25" customHeight="1">
      <c r="A1933" s="542"/>
      <c r="B1933" s="543"/>
      <c r="C1933" s="543"/>
      <c r="D1933" s="544"/>
      <c r="E1933" s="544"/>
      <c r="F1933" s="544"/>
      <c r="G1933" s="544"/>
      <c r="H1933" s="544"/>
      <c r="I1933" s="543"/>
      <c r="J1933" s="543"/>
      <c r="K1933" s="544"/>
      <c r="L1933" s="543"/>
      <c r="M1933" s="544"/>
      <c r="N1933" s="543"/>
      <c r="O1933" s="544"/>
      <c r="P1933" s="544"/>
      <c r="Q1933" s="544"/>
      <c r="R1933" s="544"/>
      <c r="S1933" s="544"/>
    </row>
    <row r="1934" ht="14.25" customHeight="1">
      <c r="A1934" s="542"/>
      <c r="B1934" s="543"/>
      <c r="C1934" s="543"/>
      <c r="D1934" s="544"/>
      <c r="E1934" s="544"/>
      <c r="F1934" s="544"/>
      <c r="G1934" s="544"/>
      <c r="H1934" s="544"/>
      <c r="I1934" s="543"/>
      <c r="J1934" s="543"/>
      <c r="K1934" s="544"/>
      <c r="L1934" s="543"/>
      <c r="M1934" s="544"/>
      <c r="N1934" s="543"/>
      <c r="O1934" s="544"/>
      <c r="P1934" s="544"/>
      <c r="Q1934" s="544"/>
      <c r="R1934" s="544"/>
      <c r="S1934" s="544"/>
    </row>
    <row r="1935" ht="14.25" customHeight="1">
      <c r="A1935" s="542"/>
      <c r="B1935" s="543"/>
      <c r="C1935" s="543"/>
      <c r="D1935" s="544"/>
      <c r="E1935" s="544"/>
      <c r="F1935" s="544"/>
      <c r="G1935" s="544"/>
      <c r="H1935" s="544"/>
      <c r="I1935" s="543"/>
      <c r="J1935" s="543"/>
      <c r="K1935" s="544"/>
      <c r="L1935" s="543"/>
      <c r="M1935" s="544"/>
      <c r="N1935" s="543"/>
      <c r="O1935" s="544"/>
      <c r="P1935" s="544"/>
      <c r="Q1935" s="544"/>
      <c r="R1935" s="544"/>
      <c r="S1935" s="544"/>
    </row>
    <row r="1936" ht="14.25" customHeight="1">
      <c r="A1936" s="542"/>
      <c r="B1936" s="543"/>
      <c r="C1936" s="543"/>
      <c r="D1936" s="544"/>
      <c r="E1936" s="544"/>
      <c r="F1936" s="544"/>
      <c r="G1936" s="544"/>
      <c r="H1936" s="544"/>
      <c r="I1936" s="543"/>
      <c r="J1936" s="543"/>
      <c r="K1936" s="544"/>
      <c r="L1936" s="543"/>
      <c r="M1936" s="544"/>
      <c r="N1936" s="543"/>
      <c r="O1936" s="544"/>
      <c r="P1936" s="544"/>
      <c r="Q1936" s="544"/>
      <c r="R1936" s="544"/>
      <c r="S1936" s="544"/>
    </row>
    <row r="1937" ht="14.25" customHeight="1">
      <c r="A1937" s="542"/>
      <c r="B1937" s="543"/>
      <c r="C1937" s="543"/>
      <c r="D1937" s="544"/>
      <c r="E1937" s="544"/>
      <c r="F1937" s="544"/>
      <c r="G1937" s="544"/>
      <c r="H1937" s="544"/>
      <c r="I1937" s="543"/>
      <c r="J1937" s="543"/>
      <c r="K1937" s="544"/>
      <c r="L1937" s="543"/>
      <c r="M1937" s="544"/>
      <c r="N1937" s="543"/>
      <c r="O1937" s="544"/>
      <c r="P1937" s="544"/>
      <c r="Q1937" s="544"/>
      <c r="R1937" s="544"/>
      <c r="S1937" s="544"/>
    </row>
    <row r="1938" ht="14.25" customHeight="1">
      <c r="A1938" s="542"/>
      <c r="B1938" s="543"/>
      <c r="C1938" s="543"/>
      <c r="D1938" s="544"/>
      <c r="E1938" s="544"/>
      <c r="F1938" s="544"/>
      <c r="G1938" s="544"/>
      <c r="H1938" s="544"/>
      <c r="I1938" s="543"/>
      <c r="J1938" s="543"/>
      <c r="K1938" s="544"/>
      <c r="L1938" s="543"/>
      <c r="M1938" s="544"/>
      <c r="N1938" s="543"/>
      <c r="O1938" s="544"/>
      <c r="P1938" s="544"/>
      <c r="Q1938" s="544"/>
      <c r="R1938" s="544"/>
      <c r="S1938" s="544"/>
    </row>
    <row r="1939" ht="14.25" customHeight="1">
      <c r="A1939" s="542"/>
      <c r="B1939" s="543"/>
      <c r="C1939" s="543"/>
      <c r="D1939" s="544"/>
      <c r="E1939" s="544"/>
      <c r="F1939" s="544"/>
      <c r="G1939" s="544"/>
      <c r="H1939" s="544"/>
      <c r="I1939" s="543"/>
      <c r="J1939" s="543"/>
      <c r="K1939" s="544"/>
      <c r="L1939" s="543"/>
      <c r="M1939" s="544"/>
      <c r="N1939" s="543"/>
      <c r="O1939" s="544"/>
      <c r="P1939" s="544"/>
      <c r="Q1939" s="544"/>
      <c r="R1939" s="544"/>
      <c r="S1939" s="544"/>
    </row>
    <row r="1940" ht="14.25" customHeight="1">
      <c r="A1940" s="542"/>
      <c r="B1940" s="543"/>
      <c r="C1940" s="543"/>
      <c r="D1940" s="544"/>
      <c r="E1940" s="544"/>
      <c r="F1940" s="544"/>
      <c r="G1940" s="544"/>
      <c r="H1940" s="544"/>
      <c r="I1940" s="543"/>
      <c r="J1940" s="543"/>
      <c r="K1940" s="544"/>
      <c r="L1940" s="543"/>
      <c r="M1940" s="544"/>
      <c r="N1940" s="543"/>
      <c r="O1940" s="544"/>
      <c r="P1940" s="544"/>
      <c r="Q1940" s="544"/>
      <c r="R1940" s="544"/>
      <c r="S1940" s="544"/>
    </row>
    <row r="1941" ht="14.25" customHeight="1">
      <c r="A1941" s="542"/>
      <c r="B1941" s="543"/>
      <c r="C1941" s="543"/>
      <c r="D1941" s="544"/>
      <c r="E1941" s="544"/>
      <c r="F1941" s="544"/>
      <c r="G1941" s="544"/>
      <c r="H1941" s="544"/>
      <c r="I1941" s="543"/>
      <c r="J1941" s="543"/>
      <c r="K1941" s="544"/>
      <c r="L1941" s="543"/>
      <c r="M1941" s="544"/>
      <c r="N1941" s="543"/>
      <c r="O1941" s="544"/>
      <c r="P1941" s="544"/>
      <c r="Q1941" s="544"/>
      <c r="R1941" s="544"/>
      <c r="S1941" s="544"/>
    </row>
    <row r="1942" ht="14.25" customHeight="1">
      <c r="A1942" s="542"/>
      <c r="B1942" s="543"/>
      <c r="C1942" s="543"/>
      <c r="D1942" s="544"/>
      <c r="E1942" s="544"/>
      <c r="F1942" s="544"/>
      <c r="G1942" s="544"/>
      <c r="H1942" s="544"/>
      <c r="I1942" s="543"/>
      <c r="J1942" s="543"/>
      <c r="K1942" s="544"/>
      <c r="L1942" s="543"/>
      <c r="M1942" s="544"/>
      <c r="N1942" s="543"/>
      <c r="O1942" s="544"/>
      <c r="P1942" s="544"/>
      <c r="Q1942" s="544"/>
      <c r="R1942" s="544"/>
      <c r="S1942" s="544"/>
    </row>
    <row r="1943" ht="14.25" customHeight="1">
      <c r="A1943" s="542"/>
      <c r="B1943" s="543"/>
      <c r="C1943" s="543"/>
      <c r="D1943" s="544"/>
      <c r="E1943" s="544"/>
      <c r="F1943" s="544"/>
      <c r="G1943" s="544"/>
      <c r="H1943" s="544"/>
      <c r="I1943" s="543"/>
      <c r="J1943" s="543"/>
      <c r="K1943" s="544"/>
      <c r="L1943" s="543"/>
      <c r="M1943" s="544"/>
      <c r="N1943" s="543"/>
      <c r="O1943" s="544"/>
      <c r="P1943" s="544"/>
      <c r="Q1943" s="544"/>
      <c r="R1943" s="544"/>
      <c r="S1943" s="544"/>
    </row>
    <row r="1944" ht="14.25" customHeight="1">
      <c r="A1944" s="542"/>
      <c r="B1944" s="543"/>
      <c r="C1944" s="543"/>
      <c r="D1944" s="544"/>
      <c r="E1944" s="544"/>
      <c r="F1944" s="544"/>
      <c r="G1944" s="544"/>
      <c r="H1944" s="544"/>
      <c r="I1944" s="543"/>
      <c r="J1944" s="543"/>
      <c r="K1944" s="544"/>
      <c r="L1944" s="543"/>
      <c r="M1944" s="544"/>
      <c r="N1944" s="543"/>
      <c r="O1944" s="544"/>
      <c r="P1944" s="544"/>
      <c r="Q1944" s="544"/>
      <c r="R1944" s="544"/>
      <c r="S1944" s="544"/>
    </row>
    <row r="1945" ht="14.25" customHeight="1">
      <c r="A1945" s="542"/>
      <c r="B1945" s="543"/>
      <c r="C1945" s="543"/>
      <c r="D1945" s="544"/>
      <c r="E1945" s="544"/>
      <c r="F1945" s="544"/>
      <c r="G1945" s="544"/>
      <c r="H1945" s="544"/>
      <c r="I1945" s="543"/>
      <c r="J1945" s="543"/>
      <c r="K1945" s="544"/>
      <c r="L1945" s="543"/>
      <c r="M1945" s="544"/>
      <c r="N1945" s="543"/>
      <c r="O1945" s="544"/>
      <c r="P1945" s="544"/>
      <c r="Q1945" s="544"/>
      <c r="R1945" s="544"/>
      <c r="S1945" s="544"/>
    </row>
    <row r="1946" ht="14.25" customHeight="1">
      <c r="A1946" s="542"/>
      <c r="B1946" s="543"/>
      <c r="C1946" s="543"/>
      <c r="D1946" s="544"/>
      <c r="E1946" s="544"/>
      <c r="F1946" s="544"/>
      <c r="G1946" s="544"/>
      <c r="H1946" s="544"/>
      <c r="I1946" s="543"/>
      <c r="J1946" s="543"/>
      <c r="K1946" s="544"/>
      <c r="L1946" s="543"/>
      <c r="M1946" s="544"/>
      <c r="N1946" s="543"/>
      <c r="O1946" s="544"/>
      <c r="P1946" s="544"/>
      <c r="Q1946" s="544"/>
      <c r="R1946" s="544"/>
      <c r="S1946" s="544"/>
    </row>
    <row r="1947" ht="14.25" customHeight="1">
      <c r="A1947" s="542"/>
      <c r="B1947" s="543"/>
      <c r="C1947" s="543"/>
      <c r="D1947" s="544"/>
      <c r="E1947" s="544"/>
      <c r="F1947" s="544"/>
      <c r="G1947" s="544"/>
      <c r="H1947" s="544"/>
      <c r="I1947" s="543"/>
      <c r="J1947" s="543"/>
      <c r="K1947" s="544"/>
      <c r="L1947" s="543"/>
      <c r="M1947" s="544"/>
      <c r="N1947" s="543"/>
      <c r="O1947" s="544"/>
      <c r="P1947" s="544"/>
      <c r="Q1947" s="544"/>
      <c r="R1947" s="544"/>
      <c r="S1947" s="544"/>
    </row>
    <row r="1948" ht="14.25" customHeight="1">
      <c r="A1948" s="542"/>
      <c r="B1948" s="543"/>
      <c r="C1948" s="543"/>
      <c r="D1948" s="544"/>
      <c r="E1948" s="544"/>
      <c r="F1948" s="544"/>
      <c r="G1948" s="544"/>
      <c r="H1948" s="544"/>
      <c r="I1948" s="543"/>
      <c r="J1948" s="543"/>
      <c r="K1948" s="544"/>
      <c r="L1948" s="543"/>
      <c r="M1948" s="544"/>
      <c r="N1948" s="543"/>
      <c r="O1948" s="544"/>
      <c r="P1948" s="544"/>
      <c r="Q1948" s="544"/>
      <c r="R1948" s="544"/>
      <c r="S1948" s="544"/>
    </row>
    <row r="1949" ht="14.25" customHeight="1">
      <c r="A1949" s="542"/>
      <c r="B1949" s="543"/>
      <c r="C1949" s="543"/>
      <c r="D1949" s="544"/>
      <c r="E1949" s="544"/>
      <c r="F1949" s="544"/>
      <c r="G1949" s="544"/>
      <c r="H1949" s="544"/>
      <c r="I1949" s="543"/>
      <c r="J1949" s="543"/>
      <c r="K1949" s="544"/>
      <c r="L1949" s="543"/>
      <c r="M1949" s="544"/>
      <c r="N1949" s="543"/>
      <c r="O1949" s="544"/>
      <c r="P1949" s="544"/>
      <c r="Q1949" s="544"/>
      <c r="R1949" s="544"/>
      <c r="S1949" s="544"/>
    </row>
    <row r="1950" ht="14.25" customHeight="1">
      <c r="A1950" s="542"/>
      <c r="B1950" s="543"/>
      <c r="C1950" s="543"/>
      <c r="D1950" s="544"/>
      <c r="E1950" s="544"/>
      <c r="F1950" s="544"/>
      <c r="G1950" s="544"/>
      <c r="H1950" s="544"/>
      <c r="I1950" s="543"/>
      <c r="J1950" s="543"/>
      <c r="K1950" s="544"/>
      <c r="L1950" s="543"/>
      <c r="M1950" s="544"/>
      <c r="N1950" s="543"/>
      <c r="O1950" s="544"/>
      <c r="P1950" s="544"/>
      <c r="Q1950" s="544"/>
      <c r="R1950" s="544"/>
      <c r="S1950" s="544"/>
    </row>
    <row r="1951" ht="14.25" customHeight="1">
      <c r="A1951" s="542"/>
      <c r="B1951" s="543"/>
      <c r="C1951" s="543"/>
      <c r="D1951" s="544"/>
      <c r="E1951" s="544"/>
      <c r="F1951" s="544"/>
      <c r="G1951" s="544"/>
      <c r="H1951" s="544"/>
      <c r="I1951" s="543"/>
      <c r="J1951" s="543"/>
      <c r="K1951" s="544"/>
      <c r="L1951" s="543"/>
      <c r="M1951" s="544"/>
      <c r="N1951" s="543"/>
      <c r="O1951" s="544"/>
      <c r="P1951" s="544"/>
      <c r="Q1951" s="544"/>
      <c r="R1951" s="544"/>
      <c r="S1951" s="544"/>
    </row>
    <row r="1952" ht="14.25" customHeight="1">
      <c r="A1952" s="542"/>
      <c r="B1952" s="543"/>
      <c r="C1952" s="543"/>
      <c r="D1952" s="544"/>
      <c r="E1952" s="544"/>
      <c r="F1952" s="544"/>
      <c r="G1952" s="544"/>
      <c r="H1952" s="544"/>
      <c r="I1952" s="543"/>
      <c r="J1952" s="543"/>
      <c r="K1952" s="544"/>
      <c r="L1952" s="543"/>
      <c r="M1952" s="544"/>
      <c r="N1952" s="543"/>
      <c r="O1952" s="544"/>
      <c r="P1952" s="544"/>
      <c r="Q1952" s="544"/>
      <c r="R1952" s="544"/>
      <c r="S1952" s="544"/>
    </row>
    <row r="1953" ht="14.25" customHeight="1">
      <c r="A1953" s="542"/>
      <c r="B1953" s="543"/>
      <c r="C1953" s="543"/>
      <c r="D1953" s="544"/>
      <c r="E1953" s="544"/>
      <c r="F1953" s="544"/>
      <c r="G1953" s="544"/>
      <c r="H1953" s="544"/>
      <c r="I1953" s="543"/>
      <c r="J1953" s="543"/>
      <c r="K1953" s="544"/>
      <c r="L1953" s="543"/>
      <c r="M1953" s="544"/>
      <c r="N1953" s="543"/>
      <c r="O1953" s="544"/>
      <c r="P1953" s="544"/>
      <c r="Q1953" s="544"/>
      <c r="R1953" s="544"/>
      <c r="S1953" s="544"/>
    </row>
    <row r="1954" ht="14.25" customHeight="1">
      <c r="A1954" s="542"/>
      <c r="B1954" s="543"/>
      <c r="C1954" s="543"/>
      <c r="D1954" s="544"/>
      <c r="E1954" s="544"/>
      <c r="F1954" s="544"/>
      <c r="G1954" s="544"/>
      <c r="H1954" s="544"/>
      <c r="I1954" s="543"/>
      <c r="J1954" s="543"/>
      <c r="K1954" s="544"/>
      <c r="L1954" s="543"/>
      <c r="M1954" s="544"/>
      <c r="N1954" s="543"/>
      <c r="O1954" s="544"/>
      <c r="P1954" s="544"/>
      <c r="Q1954" s="544"/>
      <c r="R1954" s="544"/>
      <c r="S1954" s="544"/>
    </row>
    <row r="1955" ht="14.25" customHeight="1">
      <c r="A1955" s="542"/>
      <c r="B1955" s="543"/>
      <c r="C1955" s="543"/>
      <c r="D1955" s="544"/>
      <c r="E1955" s="544"/>
      <c r="F1955" s="544"/>
      <c r="G1955" s="544"/>
      <c r="H1955" s="544"/>
      <c r="I1955" s="543"/>
      <c r="J1955" s="543"/>
      <c r="K1955" s="544"/>
      <c r="L1955" s="543"/>
      <c r="M1955" s="544"/>
      <c r="N1955" s="543"/>
      <c r="O1955" s="544"/>
      <c r="P1955" s="544"/>
      <c r="Q1955" s="544"/>
      <c r="R1955" s="544"/>
      <c r="S1955" s="544"/>
    </row>
    <row r="1956" ht="14.25" customHeight="1">
      <c r="A1956" s="542"/>
      <c r="B1956" s="543"/>
      <c r="C1956" s="543"/>
      <c r="D1956" s="544"/>
      <c r="E1956" s="544"/>
      <c r="F1956" s="544"/>
      <c r="G1956" s="544"/>
      <c r="H1956" s="544"/>
      <c r="I1956" s="543"/>
      <c r="J1956" s="543"/>
      <c r="K1956" s="544"/>
      <c r="L1956" s="543"/>
      <c r="M1956" s="544"/>
      <c r="N1956" s="543"/>
      <c r="O1956" s="544"/>
      <c r="P1956" s="544"/>
      <c r="Q1956" s="544"/>
      <c r="R1956" s="544"/>
      <c r="S1956" s="544"/>
    </row>
    <row r="1957" ht="14.25" customHeight="1">
      <c r="A1957" s="542"/>
      <c r="B1957" s="543"/>
      <c r="C1957" s="543"/>
      <c r="D1957" s="544"/>
      <c r="E1957" s="544"/>
      <c r="F1957" s="544"/>
      <c r="G1957" s="544"/>
      <c r="H1957" s="544"/>
      <c r="I1957" s="543"/>
      <c r="J1957" s="543"/>
      <c r="K1957" s="544"/>
      <c r="L1957" s="543"/>
      <c r="M1957" s="544"/>
      <c r="N1957" s="543"/>
      <c r="O1957" s="544"/>
      <c r="P1957" s="544"/>
      <c r="Q1957" s="544"/>
      <c r="R1957" s="544"/>
      <c r="S1957" s="544"/>
    </row>
    <row r="1958" ht="14.25" customHeight="1">
      <c r="A1958" s="542"/>
      <c r="B1958" s="543"/>
      <c r="C1958" s="543"/>
      <c r="D1958" s="544"/>
      <c r="E1958" s="544"/>
      <c r="F1958" s="544"/>
      <c r="G1958" s="544"/>
      <c r="H1958" s="544"/>
      <c r="I1958" s="543"/>
      <c r="J1958" s="543"/>
      <c r="K1958" s="544"/>
      <c r="L1958" s="543"/>
      <c r="M1958" s="544"/>
      <c r="N1958" s="543"/>
      <c r="O1958" s="544"/>
      <c r="P1958" s="544"/>
      <c r="Q1958" s="544"/>
      <c r="R1958" s="544"/>
      <c r="S1958" s="544"/>
    </row>
    <row r="1959" ht="14.25" customHeight="1">
      <c r="A1959" s="542"/>
      <c r="B1959" s="543"/>
      <c r="C1959" s="543"/>
      <c r="D1959" s="544"/>
      <c r="E1959" s="544"/>
      <c r="F1959" s="544"/>
      <c r="G1959" s="544"/>
      <c r="H1959" s="544"/>
      <c r="I1959" s="543"/>
      <c r="J1959" s="543"/>
      <c r="K1959" s="544"/>
      <c r="L1959" s="543"/>
      <c r="M1959" s="544"/>
      <c r="N1959" s="543"/>
      <c r="O1959" s="544"/>
      <c r="P1959" s="544"/>
      <c r="Q1959" s="544"/>
      <c r="R1959" s="544"/>
      <c r="S1959" s="544"/>
    </row>
    <row r="1960" ht="14.25" customHeight="1">
      <c r="A1960" s="542"/>
      <c r="B1960" s="543"/>
      <c r="C1960" s="543"/>
      <c r="D1960" s="544"/>
      <c r="E1960" s="544"/>
      <c r="F1960" s="544"/>
      <c r="G1960" s="544"/>
      <c r="H1960" s="544"/>
      <c r="I1960" s="543"/>
      <c r="J1960" s="543"/>
      <c r="K1960" s="544"/>
      <c r="L1960" s="543"/>
      <c r="M1960" s="544"/>
      <c r="N1960" s="543"/>
      <c r="O1960" s="544"/>
      <c r="P1960" s="544"/>
      <c r="Q1960" s="544"/>
      <c r="R1960" s="544"/>
      <c r="S1960" s="544"/>
    </row>
    <row r="1961" ht="14.25" customHeight="1">
      <c r="A1961" s="542"/>
      <c r="B1961" s="543"/>
      <c r="C1961" s="543"/>
      <c r="D1961" s="544"/>
      <c r="E1961" s="544"/>
      <c r="F1961" s="544"/>
      <c r="G1961" s="544"/>
      <c r="H1961" s="544"/>
      <c r="I1961" s="543"/>
      <c r="J1961" s="543"/>
      <c r="K1961" s="544"/>
      <c r="L1961" s="543"/>
      <c r="M1961" s="544"/>
      <c r="N1961" s="543"/>
      <c r="O1961" s="544"/>
      <c r="P1961" s="544"/>
      <c r="Q1961" s="544"/>
      <c r="R1961" s="544"/>
      <c r="S1961" s="544"/>
    </row>
    <row r="1962" ht="14.25" customHeight="1">
      <c r="A1962" s="542"/>
      <c r="B1962" s="543"/>
      <c r="C1962" s="543"/>
      <c r="D1962" s="544"/>
      <c r="E1962" s="544"/>
      <c r="F1962" s="544"/>
      <c r="G1962" s="544"/>
      <c r="H1962" s="544"/>
      <c r="I1962" s="543"/>
      <c r="J1962" s="543"/>
      <c r="K1962" s="544"/>
      <c r="L1962" s="543"/>
      <c r="M1962" s="544"/>
      <c r="N1962" s="543"/>
      <c r="O1962" s="544"/>
      <c r="P1962" s="544"/>
      <c r="Q1962" s="544"/>
      <c r="R1962" s="544"/>
      <c r="S1962" s="544"/>
    </row>
    <row r="1963" ht="14.25" customHeight="1">
      <c r="A1963" s="542"/>
      <c r="B1963" s="543"/>
      <c r="C1963" s="543"/>
      <c r="D1963" s="544"/>
      <c r="E1963" s="544"/>
      <c r="F1963" s="544"/>
      <c r="G1963" s="544"/>
      <c r="H1963" s="544"/>
      <c r="I1963" s="543"/>
      <c r="J1963" s="543"/>
      <c r="K1963" s="544"/>
      <c r="L1963" s="543"/>
      <c r="M1963" s="544"/>
      <c r="N1963" s="543"/>
      <c r="O1963" s="544"/>
      <c r="P1963" s="544"/>
      <c r="Q1963" s="544"/>
      <c r="R1963" s="544"/>
      <c r="S1963" s="544"/>
    </row>
    <row r="1964" ht="14.25" customHeight="1">
      <c r="A1964" s="542"/>
      <c r="B1964" s="543"/>
      <c r="C1964" s="543"/>
      <c r="D1964" s="544"/>
      <c r="E1964" s="544"/>
      <c r="F1964" s="544"/>
      <c r="G1964" s="544"/>
      <c r="H1964" s="544"/>
      <c r="I1964" s="543"/>
      <c r="J1964" s="543"/>
      <c r="K1964" s="544"/>
      <c r="L1964" s="543"/>
      <c r="M1964" s="544"/>
      <c r="N1964" s="543"/>
      <c r="O1964" s="544"/>
      <c r="P1964" s="544"/>
      <c r="Q1964" s="544"/>
      <c r="R1964" s="544"/>
      <c r="S1964" s="544"/>
    </row>
    <row r="1965" ht="14.25" customHeight="1">
      <c r="A1965" s="542"/>
      <c r="B1965" s="543"/>
      <c r="C1965" s="543"/>
      <c r="D1965" s="544"/>
      <c r="E1965" s="544"/>
      <c r="F1965" s="544"/>
      <c r="G1965" s="544"/>
      <c r="H1965" s="544"/>
      <c r="I1965" s="543"/>
      <c r="J1965" s="543"/>
      <c r="K1965" s="544"/>
      <c r="L1965" s="543"/>
      <c r="M1965" s="544"/>
      <c r="N1965" s="543"/>
      <c r="O1965" s="544"/>
      <c r="P1965" s="544"/>
      <c r="Q1965" s="544"/>
      <c r="R1965" s="544"/>
      <c r="S1965" s="544"/>
    </row>
    <row r="1966" ht="14.25" customHeight="1">
      <c r="A1966" s="542"/>
      <c r="B1966" s="543"/>
      <c r="C1966" s="543"/>
      <c r="D1966" s="544"/>
      <c r="E1966" s="544"/>
      <c r="F1966" s="544"/>
      <c r="G1966" s="544"/>
      <c r="H1966" s="544"/>
      <c r="I1966" s="543"/>
      <c r="J1966" s="543"/>
      <c r="K1966" s="544"/>
      <c r="L1966" s="543"/>
      <c r="M1966" s="544"/>
      <c r="N1966" s="543"/>
      <c r="O1966" s="544"/>
      <c r="P1966" s="544"/>
      <c r="Q1966" s="544"/>
      <c r="R1966" s="544"/>
      <c r="S1966" s="544"/>
    </row>
    <row r="1967" ht="14.25" customHeight="1">
      <c r="A1967" s="542"/>
      <c r="B1967" s="543"/>
      <c r="C1967" s="543"/>
      <c r="D1967" s="544"/>
      <c r="E1967" s="544"/>
      <c r="F1967" s="544"/>
      <c r="G1967" s="544"/>
      <c r="H1967" s="544"/>
      <c r="I1967" s="543"/>
      <c r="J1967" s="543"/>
      <c r="K1967" s="544"/>
      <c r="L1967" s="543"/>
      <c r="M1967" s="544"/>
      <c r="N1967" s="543"/>
      <c r="O1967" s="544"/>
      <c r="P1967" s="544"/>
      <c r="Q1967" s="544"/>
      <c r="R1967" s="544"/>
      <c r="S1967" s="544"/>
    </row>
    <row r="1968" ht="14.25" customHeight="1">
      <c r="A1968" s="542"/>
      <c r="B1968" s="543"/>
      <c r="C1968" s="543"/>
      <c r="D1968" s="544"/>
      <c r="E1968" s="544"/>
      <c r="F1968" s="544"/>
      <c r="G1968" s="544"/>
      <c r="H1968" s="544"/>
      <c r="I1968" s="543"/>
      <c r="J1968" s="543"/>
      <c r="K1968" s="544"/>
      <c r="L1968" s="543"/>
      <c r="M1968" s="544"/>
      <c r="N1968" s="543"/>
      <c r="O1968" s="544"/>
      <c r="P1968" s="544"/>
      <c r="Q1968" s="544"/>
      <c r="R1968" s="544"/>
      <c r="S1968" s="544"/>
    </row>
    <row r="1969" ht="14.25" customHeight="1">
      <c r="A1969" s="542"/>
      <c r="B1969" s="543"/>
      <c r="C1969" s="543"/>
      <c r="D1969" s="544"/>
      <c r="E1969" s="544"/>
      <c r="F1969" s="544"/>
      <c r="G1969" s="544"/>
      <c r="H1969" s="544"/>
      <c r="I1969" s="543"/>
      <c r="J1969" s="543"/>
      <c r="K1969" s="544"/>
      <c r="L1969" s="543"/>
      <c r="M1969" s="544"/>
      <c r="N1969" s="543"/>
      <c r="O1969" s="544"/>
      <c r="P1969" s="544"/>
      <c r="Q1969" s="544"/>
      <c r="R1969" s="544"/>
      <c r="S1969" s="544"/>
    </row>
    <row r="1970" ht="14.25" customHeight="1">
      <c r="A1970" s="542"/>
      <c r="B1970" s="543"/>
      <c r="C1970" s="543"/>
      <c r="D1970" s="544"/>
      <c r="E1970" s="544"/>
      <c r="F1970" s="544"/>
      <c r="G1970" s="544"/>
      <c r="H1970" s="544"/>
      <c r="I1970" s="543"/>
      <c r="J1970" s="543"/>
      <c r="K1970" s="544"/>
      <c r="L1970" s="543"/>
      <c r="M1970" s="544"/>
      <c r="N1970" s="543"/>
      <c r="O1970" s="544"/>
      <c r="P1970" s="544"/>
      <c r="Q1970" s="544"/>
      <c r="R1970" s="544"/>
      <c r="S1970" s="544"/>
    </row>
    <row r="1971" ht="14.25" customHeight="1">
      <c r="A1971" s="542"/>
      <c r="B1971" s="543"/>
      <c r="C1971" s="543"/>
      <c r="D1971" s="544"/>
      <c r="E1971" s="544"/>
      <c r="F1971" s="544"/>
      <c r="G1971" s="544"/>
      <c r="H1971" s="544"/>
      <c r="I1971" s="543"/>
      <c r="J1971" s="543"/>
      <c r="K1971" s="544"/>
      <c r="L1971" s="543"/>
      <c r="M1971" s="544"/>
      <c r="N1971" s="543"/>
      <c r="O1971" s="544"/>
      <c r="P1971" s="544"/>
      <c r="Q1971" s="544"/>
      <c r="R1971" s="544"/>
      <c r="S1971" s="544"/>
    </row>
    <row r="1972" ht="14.25" customHeight="1">
      <c r="A1972" s="542"/>
      <c r="B1972" s="543"/>
      <c r="C1972" s="543"/>
      <c r="D1972" s="544"/>
      <c r="E1972" s="544"/>
      <c r="F1972" s="544"/>
      <c r="G1972" s="544"/>
      <c r="H1972" s="544"/>
      <c r="I1972" s="543"/>
      <c r="J1972" s="543"/>
      <c r="K1972" s="544"/>
      <c r="L1972" s="543"/>
      <c r="M1972" s="544"/>
      <c r="N1972" s="543"/>
      <c r="O1972" s="544"/>
      <c r="P1972" s="544"/>
      <c r="Q1972" s="544"/>
      <c r="R1972" s="544"/>
      <c r="S1972" s="544"/>
    </row>
    <row r="1973" ht="14.25" customHeight="1">
      <c r="A1973" s="542"/>
      <c r="B1973" s="543"/>
      <c r="C1973" s="543"/>
      <c r="D1973" s="544"/>
      <c r="E1973" s="544"/>
      <c r="F1973" s="544"/>
      <c r="G1973" s="544"/>
      <c r="H1973" s="544"/>
      <c r="I1973" s="543"/>
      <c r="J1973" s="543"/>
      <c r="K1973" s="544"/>
      <c r="L1973" s="543"/>
      <c r="M1973" s="544"/>
      <c r="N1973" s="543"/>
      <c r="O1973" s="544"/>
      <c r="P1973" s="544"/>
      <c r="Q1973" s="544"/>
      <c r="R1973" s="544"/>
      <c r="S1973" s="544"/>
    </row>
    <row r="1974" ht="14.25" customHeight="1">
      <c r="A1974" s="542"/>
      <c r="B1974" s="543"/>
      <c r="C1974" s="543"/>
      <c r="D1974" s="544"/>
      <c r="E1974" s="544"/>
      <c r="F1974" s="544"/>
      <c r="G1974" s="544"/>
      <c r="H1974" s="544"/>
      <c r="I1974" s="543"/>
      <c r="J1974" s="543"/>
      <c r="K1974" s="544"/>
      <c r="L1974" s="543"/>
      <c r="M1974" s="544"/>
      <c r="N1974" s="543"/>
      <c r="O1974" s="544"/>
      <c r="P1974" s="544"/>
      <c r="Q1974" s="544"/>
      <c r="R1974" s="544"/>
      <c r="S1974" s="544"/>
    </row>
    <row r="1975" ht="14.25" customHeight="1">
      <c r="A1975" s="542"/>
      <c r="B1975" s="543"/>
      <c r="C1975" s="543"/>
      <c r="D1975" s="544"/>
      <c r="E1975" s="544"/>
      <c r="F1975" s="544"/>
      <c r="G1975" s="544"/>
      <c r="H1975" s="544"/>
      <c r="I1975" s="543"/>
      <c r="J1975" s="543"/>
      <c r="K1975" s="544"/>
      <c r="L1975" s="543"/>
      <c r="M1975" s="544"/>
      <c r="N1975" s="543"/>
      <c r="O1975" s="544"/>
      <c r="P1975" s="544"/>
      <c r="Q1975" s="544"/>
      <c r="R1975" s="544"/>
      <c r="S1975" s="544"/>
    </row>
    <row r="1976" ht="14.25" customHeight="1">
      <c r="A1976" s="542"/>
      <c r="B1976" s="543"/>
      <c r="C1976" s="543"/>
      <c r="D1976" s="544"/>
      <c r="E1976" s="544"/>
      <c r="F1976" s="544"/>
      <c r="G1976" s="544"/>
      <c r="H1976" s="544"/>
      <c r="I1976" s="543"/>
      <c r="J1976" s="543"/>
      <c r="K1976" s="544"/>
      <c r="L1976" s="543"/>
      <c r="M1976" s="544"/>
      <c r="N1976" s="543"/>
      <c r="O1976" s="544"/>
      <c r="P1976" s="544"/>
      <c r="Q1976" s="544"/>
      <c r="R1976" s="544"/>
      <c r="S1976" s="544"/>
    </row>
    <row r="1977" ht="14.25" customHeight="1">
      <c r="A1977" s="542"/>
      <c r="B1977" s="543"/>
      <c r="C1977" s="543"/>
      <c r="D1977" s="544"/>
      <c r="E1977" s="544"/>
      <c r="F1977" s="544"/>
      <c r="G1977" s="544"/>
      <c r="H1977" s="544"/>
      <c r="I1977" s="543"/>
      <c r="J1977" s="543"/>
      <c r="K1977" s="544"/>
      <c r="L1977" s="543"/>
      <c r="M1977" s="544"/>
      <c r="N1977" s="543"/>
      <c r="O1977" s="544"/>
      <c r="P1977" s="544"/>
      <c r="Q1977" s="544"/>
      <c r="R1977" s="544"/>
      <c r="S1977" s="544"/>
    </row>
    <row r="1978" ht="14.25" customHeight="1">
      <c r="A1978" s="542"/>
      <c r="B1978" s="543"/>
      <c r="C1978" s="543"/>
      <c r="D1978" s="544"/>
      <c r="E1978" s="544"/>
      <c r="F1978" s="544"/>
      <c r="G1978" s="544"/>
      <c r="H1978" s="544"/>
      <c r="I1978" s="543"/>
      <c r="J1978" s="543"/>
      <c r="K1978" s="544"/>
      <c r="L1978" s="543"/>
      <c r="M1978" s="544"/>
      <c r="N1978" s="543"/>
      <c r="O1978" s="544"/>
      <c r="P1978" s="544"/>
      <c r="Q1978" s="544"/>
      <c r="R1978" s="544"/>
      <c r="S1978" s="544"/>
    </row>
    <row r="1979" ht="14.25" customHeight="1">
      <c r="A1979" s="542"/>
      <c r="B1979" s="543"/>
      <c r="C1979" s="543"/>
      <c r="D1979" s="544"/>
      <c r="E1979" s="544"/>
      <c r="F1979" s="544"/>
      <c r="G1979" s="544"/>
      <c r="H1979" s="544"/>
      <c r="I1979" s="543"/>
      <c r="J1979" s="543"/>
      <c r="K1979" s="544"/>
      <c r="L1979" s="543"/>
      <c r="M1979" s="544"/>
      <c r="N1979" s="543"/>
      <c r="O1979" s="544"/>
      <c r="P1979" s="544"/>
      <c r="Q1979" s="544"/>
      <c r="R1979" s="544"/>
      <c r="S1979" s="544"/>
    </row>
    <row r="1980" ht="14.25" customHeight="1">
      <c r="A1980" s="542"/>
      <c r="B1980" s="543"/>
      <c r="C1980" s="543"/>
      <c r="D1980" s="544"/>
      <c r="E1980" s="544"/>
      <c r="F1980" s="544"/>
      <c r="G1980" s="544"/>
      <c r="H1980" s="544"/>
      <c r="I1980" s="543"/>
      <c r="J1980" s="543"/>
      <c r="K1980" s="544"/>
      <c r="L1980" s="543"/>
      <c r="M1980" s="544"/>
      <c r="N1980" s="543"/>
      <c r="O1980" s="544"/>
      <c r="P1980" s="544"/>
      <c r="Q1980" s="544"/>
      <c r="R1980" s="544"/>
      <c r="S1980" s="544"/>
    </row>
    <row r="1981" ht="14.25" customHeight="1">
      <c r="A1981" s="542"/>
      <c r="B1981" s="543"/>
      <c r="C1981" s="543"/>
      <c r="D1981" s="544"/>
      <c r="E1981" s="544"/>
      <c r="F1981" s="544"/>
      <c r="G1981" s="544"/>
      <c r="H1981" s="544"/>
      <c r="I1981" s="543"/>
      <c r="J1981" s="543"/>
      <c r="K1981" s="544"/>
      <c r="L1981" s="543"/>
      <c r="M1981" s="544"/>
      <c r="N1981" s="543"/>
      <c r="O1981" s="544"/>
      <c r="P1981" s="544"/>
      <c r="Q1981" s="544"/>
      <c r="R1981" s="544"/>
      <c r="S1981" s="544"/>
    </row>
    <row r="1982" ht="14.25" customHeight="1">
      <c r="A1982" s="542"/>
      <c r="B1982" s="543"/>
      <c r="C1982" s="543"/>
      <c r="D1982" s="544"/>
      <c r="E1982" s="544"/>
      <c r="F1982" s="544"/>
      <c r="G1982" s="544"/>
      <c r="H1982" s="544"/>
      <c r="I1982" s="543"/>
      <c r="J1982" s="543"/>
      <c r="K1982" s="544"/>
      <c r="L1982" s="543"/>
      <c r="M1982" s="544"/>
      <c r="N1982" s="543"/>
      <c r="O1982" s="544"/>
      <c r="P1982" s="544"/>
      <c r="Q1982" s="544"/>
      <c r="R1982" s="544"/>
      <c r="S1982" s="544"/>
    </row>
    <row r="1983" ht="14.25" customHeight="1">
      <c r="A1983" s="542"/>
      <c r="B1983" s="543"/>
      <c r="C1983" s="543"/>
      <c r="D1983" s="544"/>
      <c r="E1983" s="544"/>
      <c r="F1983" s="544"/>
      <c r="G1983" s="544"/>
      <c r="H1983" s="544"/>
      <c r="I1983" s="543"/>
      <c r="J1983" s="543"/>
      <c r="K1983" s="544"/>
      <c r="L1983" s="543"/>
      <c r="M1983" s="544"/>
      <c r="N1983" s="543"/>
      <c r="O1983" s="544"/>
      <c r="P1983" s="544"/>
      <c r="Q1983" s="544"/>
      <c r="R1983" s="544"/>
      <c r="S1983" s="544"/>
    </row>
    <row r="1984" ht="14.25" customHeight="1">
      <c r="A1984" s="542"/>
      <c r="B1984" s="543"/>
      <c r="C1984" s="543"/>
      <c r="D1984" s="544"/>
      <c r="E1984" s="544"/>
      <c r="F1984" s="544"/>
      <c r="G1984" s="544"/>
      <c r="H1984" s="544"/>
      <c r="I1984" s="543"/>
      <c r="J1984" s="543"/>
      <c r="K1984" s="544"/>
      <c r="L1984" s="543"/>
      <c r="M1984" s="544"/>
      <c r="N1984" s="543"/>
      <c r="O1984" s="544"/>
      <c r="P1984" s="544"/>
      <c r="Q1984" s="544"/>
      <c r="R1984" s="544"/>
      <c r="S1984" s="544"/>
    </row>
    <row r="1985" ht="14.25" customHeight="1">
      <c r="A1985" s="542"/>
      <c r="B1985" s="543"/>
      <c r="C1985" s="543"/>
      <c r="D1985" s="544"/>
      <c r="E1985" s="544"/>
      <c r="F1985" s="544"/>
      <c r="G1985" s="544"/>
      <c r="H1985" s="544"/>
      <c r="I1985" s="543"/>
      <c r="J1985" s="543"/>
      <c r="K1985" s="544"/>
      <c r="L1985" s="543"/>
      <c r="M1985" s="544"/>
      <c r="N1985" s="543"/>
      <c r="O1985" s="544"/>
      <c r="P1985" s="544"/>
      <c r="Q1985" s="544"/>
      <c r="R1985" s="544"/>
      <c r="S1985" s="544"/>
    </row>
    <row r="1986" ht="14.25" customHeight="1">
      <c r="A1986" s="542"/>
      <c r="B1986" s="543"/>
      <c r="C1986" s="543"/>
      <c r="D1986" s="544"/>
      <c r="E1986" s="544"/>
      <c r="F1986" s="544"/>
      <c r="G1986" s="544"/>
      <c r="H1986" s="544"/>
      <c r="I1986" s="543"/>
      <c r="J1986" s="543"/>
      <c r="K1986" s="544"/>
      <c r="L1986" s="543"/>
      <c r="M1986" s="544"/>
      <c r="N1986" s="543"/>
      <c r="O1986" s="544"/>
      <c r="P1986" s="544"/>
      <c r="Q1986" s="544"/>
      <c r="R1986" s="544"/>
      <c r="S1986" s="544"/>
    </row>
    <row r="1987" ht="14.25" customHeight="1">
      <c r="A1987" s="542"/>
      <c r="B1987" s="543"/>
      <c r="C1987" s="543"/>
      <c r="D1987" s="544"/>
      <c r="E1987" s="544"/>
      <c r="F1987" s="544"/>
      <c r="G1987" s="544"/>
      <c r="H1987" s="544"/>
      <c r="I1987" s="543"/>
      <c r="J1987" s="543"/>
      <c r="K1987" s="544"/>
      <c r="L1987" s="543"/>
      <c r="M1987" s="544"/>
      <c r="N1987" s="543"/>
      <c r="O1987" s="544"/>
      <c r="P1987" s="544"/>
      <c r="Q1987" s="544"/>
      <c r="R1987" s="544"/>
      <c r="S1987" s="544"/>
    </row>
    <row r="1988" ht="14.25" customHeight="1">
      <c r="A1988" s="542"/>
      <c r="B1988" s="543"/>
      <c r="C1988" s="543"/>
      <c r="D1988" s="544"/>
      <c r="E1988" s="544"/>
      <c r="F1988" s="544"/>
      <c r="G1988" s="544"/>
      <c r="H1988" s="544"/>
      <c r="I1988" s="543"/>
      <c r="J1988" s="543"/>
      <c r="K1988" s="544"/>
      <c r="L1988" s="543"/>
      <c r="M1988" s="544"/>
      <c r="N1988" s="543"/>
      <c r="O1988" s="544"/>
      <c r="P1988" s="544"/>
      <c r="Q1988" s="544"/>
      <c r="R1988" s="544"/>
      <c r="S1988" s="544"/>
    </row>
    <row r="1989" ht="14.25" customHeight="1">
      <c r="A1989" s="542"/>
      <c r="B1989" s="543"/>
      <c r="C1989" s="543"/>
      <c r="D1989" s="544"/>
      <c r="E1989" s="544"/>
      <c r="F1989" s="544"/>
      <c r="G1989" s="544"/>
      <c r="H1989" s="544"/>
      <c r="I1989" s="543"/>
      <c r="J1989" s="543"/>
      <c r="K1989" s="544"/>
      <c r="L1989" s="543"/>
      <c r="M1989" s="544"/>
      <c r="N1989" s="543"/>
      <c r="O1989" s="544"/>
      <c r="P1989" s="544"/>
      <c r="Q1989" s="544"/>
      <c r="R1989" s="544"/>
      <c r="S1989" s="544"/>
    </row>
    <row r="1990" ht="14.25" customHeight="1">
      <c r="A1990" s="542"/>
      <c r="B1990" s="543"/>
      <c r="C1990" s="543"/>
      <c r="D1990" s="544"/>
      <c r="E1990" s="544"/>
      <c r="F1990" s="544"/>
      <c r="G1990" s="544"/>
      <c r="H1990" s="544"/>
      <c r="I1990" s="543"/>
      <c r="J1990" s="543"/>
      <c r="K1990" s="544"/>
      <c r="L1990" s="543"/>
      <c r="M1990" s="544"/>
      <c r="N1990" s="543"/>
      <c r="O1990" s="544"/>
      <c r="P1990" s="544"/>
      <c r="Q1990" s="544"/>
      <c r="R1990" s="544"/>
      <c r="S1990" s="544"/>
    </row>
    <row r="1991" ht="14.25" customHeight="1">
      <c r="A1991" s="542"/>
      <c r="B1991" s="543"/>
      <c r="C1991" s="543"/>
      <c r="D1991" s="544"/>
      <c r="E1991" s="544"/>
      <c r="F1991" s="544"/>
      <c r="G1991" s="544"/>
      <c r="H1991" s="544"/>
      <c r="I1991" s="543"/>
      <c r="J1991" s="543"/>
      <c r="K1991" s="544"/>
      <c r="L1991" s="543"/>
      <c r="M1991" s="544"/>
      <c r="N1991" s="543"/>
      <c r="O1991" s="544"/>
      <c r="P1991" s="544"/>
      <c r="Q1991" s="544"/>
      <c r="R1991" s="544"/>
      <c r="S1991" s="544"/>
    </row>
    <row r="1992" ht="14.25" customHeight="1">
      <c r="A1992" s="542"/>
      <c r="B1992" s="543"/>
      <c r="C1992" s="543"/>
      <c r="D1992" s="544"/>
      <c r="E1992" s="544"/>
      <c r="F1992" s="544"/>
      <c r="G1992" s="544"/>
      <c r="H1992" s="544"/>
      <c r="I1992" s="543"/>
      <c r="J1992" s="543"/>
      <c r="K1992" s="544"/>
      <c r="L1992" s="543"/>
      <c r="M1992" s="544"/>
      <c r="N1992" s="543"/>
      <c r="O1992" s="544"/>
      <c r="P1992" s="544"/>
      <c r="Q1992" s="544"/>
      <c r="R1992" s="544"/>
      <c r="S1992" s="544"/>
    </row>
    <row r="1993" ht="14.25" customHeight="1">
      <c r="A1993" s="542"/>
      <c r="B1993" s="543"/>
      <c r="C1993" s="543"/>
      <c r="D1993" s="544"/>
      <c r="E1993" s="544"/>
      <c r="F1993" s="544"/>
      <c r="G1993" s="544"/>
      <c r="H1993" s="544"/>
      <c r="I1993" s="543"/>
      <c r="J1993" s="543"/>
      <c r="K1993" s="544"/>
      <c r="L1993" s="543"/>
      <c r="M1993" s="544"/>
      <c r="N1993" s="543"/>
      <c r="O1993" s="544"/>
      <c r="P1993" s="544"/>
      <c r="Q1993" s="544"/>
      <c r="R1993" s="544"/>
      <c r="S1993" s="544"/>
    </row>
    <row r="1994" ht="14.25" customHeight="1">
      <c r="A1994" s="542"/>
      <c r="B1994" s="543"/>
      <c r="C1994" s="543"/>
      <c r="D1994" s="544"/>
      <c r="E1994" s="544"/>
      <c r="F1994" s="544"/>
      <c r="G1994" s="544"/>
      <c r="H1994" s="544"/>
      <c r="I1994" s="543"/>
      <c r="J1994" s="543"/>
      <c r="K1994" s="544"/>
      <c r="L1994" s="543"/>
      <c r="M1994" s="544"/>
      <c r="N1994" s="543"/>
      <c r="O1994" s="544"/>
      <c r="P1994" s="544"/>
      <c r="Q1994" s="544"/>
      <c r="R1994" s="544"/>
      <c r="S1994" s="544"/>
    </row>
    <row r="1995" ht="14.25" customHeight="1">
      <c r="A1995" s="542"/>
      <c r="B1995" s="543"/>
      <c r="C1995" s="543"/>
      <c r="D1995" s="544"/>
      <c r="E1995" s="544"/>
      <c r="F1995" s="544"/>
      <c r="G1995" s="544"/>
      <c r="H1995" s="544"/>
      <c r="I1995" s="543"/>
      <c r="J1995" s="543"/>
      <c r="K1995" s="544"/>
      <c r="L1995" s="543"/>
      <c r="M1995" s="544"/>
      <c r="N1995" s="543"/>
      <c r="O1995" s="544"/>
      <c r="P1995" s="544"/>
      <c r="Q1995" s="544"/>
      <c r="R1995" s="544"/>
      <c r="S1995" s="544"/>
    </row>
    <row r="1996" ht="14.25" customHeight="1">
      <c r="A1996" s="542"/>
      <c r="B1996" s="543"/>
      <c r="C1996" s="543"/>
      <c r="D1996" s="544"/>
      <c r="E1996" s="544"/>
      <c r="F1996" s="544"/>
      <c r="G1996" s="544"/>
      <c r="H1996" s="544"/>
      <c r="I1996" s="543"/>
      <c r="J1996" s="543"/>
      <c r="K1996" s="544"/>
      <c r="L1996" s="543"/>
      <c r="M1996" s="544"/>
      <c r="N1996" s="543"/>
      <c r="O1996" s="544"/>
      <c r="P1996" s="544"/>
      <c r="Q1996" s="544"/>
      <c r="R1996" s="544"/>
      <c r="S1996" s="544"/>
    </row>
    <row r="1997" ht="14.25" customHeight="1">
      <c r="A1997" s="542"/>
      <c r="B1997" s="543"/>
      <c r="C1997" s="543"/>
      <c r="D1997" s="544"/>
      <c r="E1997" s="544"/>
      <c r="F1997" s="544"/>
      <c r="G1997" s="544"/>
      <c r="H1997" s="544"/>
      <c r="I1997" s="543"/>
      <c r="J1997" s="543"/>
      <c r="K1997" s="544"/>
      <c r="L1997" s="543"/>
      <c r="M1997" s="544"/>
      <c r="N1997" s="543"/>
      <c r="O1997" s="544"/>
      <c r="P1997" s="544"/>
      <c r="Q1997" s="544"/>
      <c r="R1997" s="544"/>
      <c r="S1997" s="544"/>
    </row>
    <row r="1998" ht="14.25" customHeight="1">
      <c r="A1998" s="542"/>
      <c r="B1998" s="543"/>
      <c r="C1998" s="543"/>
      <c r="D1998" s="544"/>
      <c r="E1998" s="544"/>
      <c r="F1998" s="544"/>
      <c r="G1998" s="544"/>
      <c r="H1998" s="544"/>
      <c r="I1998" s="543"/>
      <c r="J1998" s="543"/>
      <c r="K1998" s="544"/>
      <c r="L1998" s="543"/>
      <c r="M1998" s="544"/>
      <c r="N1998" s="543"/>
      <c r="O1998" s="544"/>
      <c r="P1998" s="544"/>
      <c r="Q1998" s="544"/>
      <c r="R1998" s="544"/>
      <c r="S1998" s="544"/>
    </row>
    <row r="1999" ht="14.25" customHeight="1">
      <c r="A1999" s="542"/>
      <c r="B1999" s="543"/>
      <c r="C1999" s="543"/>
      <c r="D1999" s="544"/>
      <c r="E1999" s="544"/>
      <c r="F1999" s="544"/>
      <c r="G1999" s="544"/>
      <c r="H1999" s="544"/>
      <c r="I1999" s="543"/>
      <c r="J1999" s="543"/>
      <c r="K1999" s="544"/>
      <c r="L1999" s="543"/>
      <c r="M1999" s="544"/>
      <c r="N1999" s="543"/>
      <c r="O1999" s="544"/>
      <c r="P1999" s="544"/>
      <c r="Q1999" s="544"/>
      <c r="R1999" s="544"/>
      <c r="S1999" s="544"/>
    </row>
    <row r="2000" ht="14.25" customHeight="1">
      <c r="A2000" s="542"/>
      <c r="B2000" s="543"/>
      <c r="C2000" s="543"/>
      <c r="D2000" s="544"/>
      <c r="E2000" s="544"/>
      <c r="F2000" s="544"/>
      <c r="G2000" s="544"/>
      <c r="H2000" s="544"/>
      <c r="I2000" s="543"/>
      <c r="J2000" s="543"/>
      <c r="K2000" s="544"/>
      <c r="L2000" s="543"/>
      <c r="M2000" s="544"/>
      <c r="N2000" s="543"/>
      <c r="O2000" s="544"/>
      <c r="P2000" s="544"/>
      <c r="Q2000" s="544"/>
      <c r="R2000" s="544"/>
      <c r="S2000" s="544"/>
    </row>
    <row r="2001" ht="14.25" customHeight="1">
      <c r="A2001" s="542"/>
      <c r="B2001" s="543"/>
      <c r="C2001" s="543"/>
      <c r="D2001" s="544"/>
      <c r="E2001" s="544"/>
      <c r="F2001" s="544"/>
      <c r="G2001" s="544"/>
      <c r="H2001" s="544"/>
      <c r="I2001" s="543"/>
      <c r="J2001" s="543"/>
      <c r="K2001" s="544"/>
      <c r="L2001" s="543"/>
      <c r="M2001" s="544"/>
      <c r="N2001" s="543"/>
      <c r="O2001" s="544"/>
      <c r="P2001" s="544"/>
      <c r="Q2001" s="544"/>
      <c r="R2001" s="544"/>
      <c r="S2001" s="544"/>
    </row>
    <row r="2002" ht="14.25" customHeight="1">
      <c r="A2002" s="542"/>
      <c r="B2002" s="543"/>
      <c r="C2002" s="543"/>
      <c r="D2002" s="544"/>
      <c r="E2002" s="544"/>
      <c r="F2002" s="544"/>
      <c r="G2002" s="544"/>
      <c r="H2002" s="544"/>
      <c r="I2002" s="543"/>
      <c r="J2002" s="543"/>
      <c r="K2002" s="544"/>
      <c r="L2002" s="543"/>
      <c r="M2002" s="544"/>
      <c r="N2002" s="543"/>
      <c r="O2002" s="544"/>
      <c r="P2002" s="544"/>
      <c r="Q2002" s="544"/>
      <c r="R2002" s="544"/>
      <c r="S2002" s="544"/>
    </row>
    <row r="2003" ht="14.25" customHeight="1">
      <c r="A2003" s="542"/>
      <c r="B2003" s="543"/>
      <c r="C2003" s="543"/>
      <c r="D2003" s="544"/>
      <c r="E2003" s="544"/>
      <c r="F2003" s="544"/>
      <c r="G2003" s="544"/>
      <c r="H2003" s="544"/>
      <c r="I2003" s="543"/>
      <c r="J2003" s="543"/>
      <c r="K2003" s="544"/>
      <c r="L2003" s="543"/>
      <c r="M2003" s="544"/>
      <c r="N2003" s="543"/>
      <c r="O2003" s="544"/>
      <c r="P2003" s="544"/>
      <c r="Q2003" s="544"/>
      <c r="R2003" s="544"/>
      <c r="S2003" s="544"/>
    </row>
    <row r="2004" ht="14.25" customHeight="1">
      <c r="A2004" s="542"/>
      <c r="B2004" s="543"/>
      <c r="C2004" s="543"/>
      <c r="D2004" s="544"/>
      <c r="E2004" s="544"/>
      <c r="F2004" s="544"/>
      <c r="G2004" s="544"/>
      <c r="H2004" s="544"/>
      <c r="I2004" s="543"/>
      <c r="J2004" s="543"/>
      <c r="K2004" s="544"/>
      <c r="L2004" s="543"/>
      <c r="M2004" s="544"/>
      <c r="N2004" s="543"/>
      <c r="O2004" s="544"/>
      <c r="P2004" s="544"/>
      <c r="Q2004" s="544"/>
      <c r="R2004" s="544"/>
      <c r="S2004" s="544"/>
    </row>
    <row r="2005" ht="14.25" customHeight="1">
      <c r="A2005" s="542"/>
      <c r="B2005" s="543"/>
      <c r="C2005" s="543"/>
      <c r="D2005" s="544"/>
      <c r="E2005" s="544"/>
      <c r="F2005" s="544"/>
      <c r="G2005" s="544"/>
      <c r="H2005" s="544"/>
      <c r="I2005" s="543"/>
      <c r="J2005" s="543"/>
      <c r="K2005" s="544"/>
      <c r="L2005" s="543"/>
      <c r="M2005" s="544"/>
      <c r="N2005" s="543"/>
      <c r="O2005" s="544"/>
      <c r="P2005" s="544"/>
      <c r="Q2005" s="544"/>
      <c r="R2005" s="544"/>
      <c r="S2005" s="544"/>
    </row>
    <row r="2006" ht="14.25" customHeight="1">
      <c r="A2006" s="542"/>
      <c r="B2006" s="543"/>
      <c r="C2006" s="543"/>
      <c r="D2006" s="544"/>
      <c r="E2006" s="544"/>
      <c r="F2006" s="544"/>
      <c r="G2006" s="544"/>
      <c r="H2006" s="544"/>
      <c r="I2006" s="543"/>
      <c r="J2006" s="543"/>
      <c r="K2006" s="544"/>
      <c r="L2006" s="543"/>
      <c r="M2006" s="544"/>
      <c r="N2006" s="543"/>
      <c r="O2006" s="544"/>
      <c r="P2006" s="544"/>
      <c r="Q2006" s="544"/>
      <c r="R2006" s="544"/>
      <c r="S2006" s="544"/>
    </row>
    <row r="2007" ht="14.25" customHeight="1">
      <c r="A2007" s="542"/>
      <c r="B2007" s="543"/>
      <c r="C2007" s="543"/>
      <c r="D2007" s="544"/>
      <c r="E2007" s="544"/>
      <c r="F2007" s="544"/>
      <c r="G2007" s="544"/>
      <c r="H2007" s="544"/>
      <c r="I2007" s="543"/>
      <c r="J2007" s="543"/>
      <c r="K2007" s="544"/>
      <c r="L2007" s="543"/>
      <c r="M2007" s="544"/>
      <c r="N2007" s="543"/>
      <c r="O2007" s="544"/>
      <c r="P2007" s="544"/>
      <c r="Q2007" s="544"/>
      <c r="R2007" s="544"/>
      <c r="S2007" s="544"/>
    </row>
    <row r="2008" ht="14.25" customHeight="1">
      <c r="A2008" s="542"/>
      <c r="B2008" s="543"/>
      <c r="C2008" s="543"/>
      <c r="D2008" s="544"/>
      <c r="E2008" s="544"/>
      <c r="F2008" s="544"/>
      <c r="G2008" s="544"/>
      <c r="H2008" s="544"/>
      <c r="I2008" s="543"/>
      <c r="J2008" s="543"/>
      <c r="K2008" s="544"/>
      <c r="L2008" s="543"/>
      <c r="M2008" s="544"/>
      <c r="N2008" s="543"/>
      <c r="O2008" s="544"/>
      <c r="P2008" s="544"/>
      <c r="Q2008" s="544"/>
      <c r="R2008" s="544"/>
      <c r="S2008" s="544"/>
    </row>
    <row r="2009" ht="14.25" customHeight="1">
      <c r="A2009" s="542"/>
      <c r="B2009" s="543"/>
      <c r="C2009" s="543"/>
      <c r="D2009" s="544"/>
      <c r="E2009" s="544"/>
      <c r="F2009" s="544"/>
      <c r="G2009" s="544"/>
      <c r="H2009" s="544"/>
      <c r="I2009" s="543"/>
      <c r="J2009" s="543"/>
      <c r="K2009" s="544"/>
      <c r="L2009" s="543"/>
      <c r="M2009" s="544"/>
      <c r="N2009" s="543"/>
      <c r="O2009" s="544"/>
      <c r="P2009" s="544"/>
      <c r="Q2009" s="544"/>
      <c r="R2009" s="544"/>
      <c r="S2009" s="544"/>
    </row>
    <row r="2010" ht="14.25" customHeight="1">
      <c r="A2010" s="542"/>
      <c r="B2010" s="543"/>
      <c r="C2010" s="543"/>
      <c r="D2010" s="544"/>
      <c r="E2010" s="544"/>
      <c r="F2010" s="544"/>
      <c r="G2010" s="544"/>
      <c r="H2010" s="544"/>
      <c r="I2010" s="543"/>
      <c r="J2010" s="543"/>
      <c r="K2010" s="544"/>
      <c r="L2010" s="543"/>
      <c r="M2010" s="544"/>
      <c r="N2010" s="543"/>
      <c r="O2010" s="544"/>
      <c r="P2010" s="544"/>
      <c r="Q2010" s="544"/>
      <c r="R2010" s="544"/>
      <c r="S2010" s="544"/>
    </row>
    <row r="2011" ht="14.25" customHeight="1">
      <c r="A2011" s="542"/>
      <c r="B2011" s="543"/>
      <c r="C2011" s="543"/>
      <c r="D2011" s="544"/>
      <c r="E2011" s="544"/>
      <c r="F2011" s="544"/>
      <c r="G2011" s="544"/>
      <c r="H2011" s="544"/>
      <c r="I2011" s="543"/>
      <c r="J2011" s="543"/>
      <c r="K2011" s="544"/>
      <c r="L2011" s="543"/>
      <c r="M2011" s="544"/>
      <c r="N2011" s="543"/>
      <c r="O2011" s="544"/>
      <c r="P2011" s="544"/>
      <c r="Q2011" s="544"/>
      <c r="R2011" s="544"/>
      <c r="S2011" s="544"/>
    </row>
    <row r="2012" ht="14.25" customHeight="1">
      <c r="A2012" s="542"/>
      <c r="B2012" s="543"/>
      <c r="C2012" s="543"/>
      <c r="D2012" s="544"/>
      <c r="E2012" s="544"/>
      <c r="F2012" s="544"/>
      <c r="G2012" s="544"/>
      <c r="H2012" s="544"/>
      <c r="I2012" s="543"/>
      <c r="J2012" s="543"/>
      <c r="K2012" s="544"/>
      <c r="L2012" s="543"/>
      <c r="M2012" s="544"/>
      <c r="N2012" s="543"/>
      <c r="O2012" s="544"/>
      <c r="P2012" s="544"/>
      <c r="Q2012" s="544"/>
      <c r="R2012" s="544"/>
      <c r="S2012" s="544"/>
    </row>
    <row r="2013" ht="14.25" customHeight="1">
      <c r="A2013" s="542"/>
      <c r="B2013" s="543"/>
      <c r="C2013" s="543"/>
      <c r="D2013" s="544"/>
      <c r="E2013" s="544"/>
      <c r="F2013" s="544"/>
      <c r="G2013" s="544"/>
      <c r="H2013" s="544"/>
      <c r="I2013" s="543"/>
      <c r="J2013" s="543"/>
      <c r="K2013" s="544"/>
      <c r="L2013" s="543"/>
      <c r="M2013" s="544"/>
      <c r="N2013" s="543"/>
      <c r="O2013" s="544"/>
      <c r="P2013" s="544"/>
      <c r="Q2013" s="544"/>
      <c r="R2013" s="544"/>
      <c r="S2013" s="544"/>
    </row>
    <row r="2014" ht="14.25" customHeight="1">
      <c r="A2014" s="542"/>
      <c r="B2014" s="543"/>
      <c r="C2014" s="543"/>
      <c r="D2014" s="544"/>
      <c r="E2014" s="544"/>
      <c r="F2014" s="544"/>
      <c r="G2014" s="544"/>
      <c r="H2014" s="544"/>
      <c r="I2014" s="543"/>
      <c r="J2014" s="543"/>
      <c r="K2014" s="544"/>
      <c r="L2014" s="543"/>
      <c r="M2014" s="544"/>
      <c r="N2014" s="543"/>
      <c r="O2014" s="544"/>
      <c r="P2014" s="544"/>
      <c r="Q2014" s="544"/>
      <c r="R2014" s="544"/>
      <c r="S2014" s="544"/>
    </row>
    <row r="2015" ht="14.25" customHeight="1">
      <c r="A2015" s="542"/>
      <c r="B2015" s="543"/>
      <c r="C2015" s="543"/>
      <c r="D2015" s="544"/>
      <c r="E2015" s="544"/>
      <c r="F2015" s="544"/>
      <c r="G2015" s="544"/>
      <c r="H2015" s="544"/>
      <c r="I2015" s="543"/>
      <c r="J2015" s="543"/>
      <c r="K2015" s="544"/>
      <c r="L2015" s="543"/>
      <c r="M2015" s="544"/>
      <c r="N2015" s="543"/>
      <c r="O2015" s="544"/>
      <c r="P2015" s="544"/>
      <c r="Q2015" s="544"/>
      <c r="R2015" s="544"/>
      <c r="S2015" s="544"/>
    </row>
    <row r="2016" ht="14.25" customHeight="1">
      <c r="A2016" s="542"/>
      <c r="B2016" s="543"/>
      <c r="C2016" s="543"/>
      <c r="D2016" s="544"/>
      <c r="E2016" s="544"/>
      <c r="F2016" s="544"/>
      <c r="G2016" s="544"/>
      <c r="H2016" s="544"/>
      <c r="I2016" s="543"/>
      <c r="J2016" s="543"/>
      <c r="K2016" s="544"/>
      <c r="L2016" s="543"/>
      <c r="M2016" s="544"/>
      <c r="N2016" s="543"/>
      <c r="O2016" s="544"/>
      <c r="P2016" s="544"/>
      <c r="Q2016" s="544"/>
      <c r="R2016" s="544"/>
      <c r="S2016" s="544"/>
    </row>
    <row r="2017" ht="14.25" customHeight="1">
      <c r="A2017" s="542"/>
      <c r="B2017" s="543"/>
      <c r="C2017" s="543"/>
      <c r="D2017" s="544"/>
      <c r="E2017" s="544"/>
      <c r="F2017" s="544"/>
      <c r="G2017" s="544"/>
      <c r="H2017" s="544"/>
      <c r="I2017" s="543"/>
      <c r="J2017" s="543"/>
      <c r="K2017" s="544"/>
      <c r="L2017" s="543"/>
      <c r="M2017" s="544"/>
      <c r="N2017" s="543"/>
      <c r="O2017" s="544"/>
      <c r="P2017" s="544"/>
      <c r="Q2017" s="544"/>
      <c r="R2017" s="544"/>
      <c r="S2017" s="544"/>
    </row>
    <row r="2018" ht="14.25" customHeight="1">
      <c r="A2018" s="542"/>
      <c r="B2018" s="543"/>
      <c r="C2018" s="543"/>
      <c r="D2018" s="544"/>
      <c r="E2018" s="544"/>
      <c r="F2018" s="544"/>
      <c r="G2018" s="544"/>
      <c r="H2018" s="544"/>
      <c r="I2018" s="543"/>
      <c r="J2018" s="543"/>
      <c r="K2018" s="544"/>
      <c r="L2018" s="543"/>
      <c r="M2018" s="544"/>
      <c r="N2018" s="543"/>
      <c r="O2018" s="544"/>
      <c r="P2018" s="544"/>
      <c r="Q2018" s="544"/>
      <c r="R2018" s="544"/>
      <c r="S2018" s="544"/>
    </row>
    <row r="2019" ht="14.25" customHeight="1">
      <c r="A2019" s="542"/>
      <c r="B2019" s="543"/>
      <c r="C2019" s="543"/>
      <c r="D2019" s="544"/>
      <c r="E2019" s="544"/>
      <c r="F2019" s="544"/>
      <c r="G2019" s="544"/>
      <c r="H2019" s="544"/>
      <c r="I2019" s="543"/>
      <c r="J2019" s="543"/>
      <c r="K2019" s="544"/>
      <c r="L2019" s="543"/>
      <c r="M2019" s="544"/>
      <c r="N2019" s="543"/>
      <c r="O2019" s="544"/>
      <c r="P2019" s="544"/>
      <c r="Q2019" s="544"/>
      <c r="R2019" s="544"/>
      <c r="S2019" s="544"/>
    </row>
    <row r="2020" ht="14.25" customHeight="1">
      <c r="A2020" s="542"/>
      <c r="B2020" s="543"/>
      <c r="C2020" s="543"/>
      <c r="D2020" s="544"/>
      <c r="E2020" s="544"/>
      <c r="F2020" s="544"/>
      <c r="G2020" s="544"/>
      <c r="H2020" s="544"/>
      <c r="I2020" s="543"/>
      <c r="J2020" s="543"/>
      <c r="K2020" s="544"/>
      <c r="L2020" s="543"/>
      <c r="M2020" s="544"/>
      <c r="N2020" s="543"/>
      <c r="O2020" s="544"/>
      <c r="P2020" s="544"/>
      <c r="Q2020" s="544"/>
      <c r="R2020" s="544"/>
      <c r="S2020" s="544"/>
    </row>
    <row r="2021" ht="14.25" customHeight="1">
      <c r="A2021" s="542"/>
      <c r="B2021" s="543"/>
      <c r="C2021" s="543"/>
      <c r="D2021" s="544"/>
      <c r="E2021" s="544"/>
      <c r="F2021" s="544"/>
      <c r="G2021" s="544"/>
      <c r="H2021" s="544"/>
      <c r="I2021" s="543"/>
      <c r="J2021" s="543"/>
      <c r="K2021" s="544"/>
      <c r="L2021" s="543"/>
      <c r="M2021" s="544"/>
      <c r="N2021" s="543"/>
      <c r="O2021" s="544"/>
      <c r="P2021" s="544"/>
      <c r="Q2021" s="544"/>
      <c r="R2021" s="544"/>
      <c r="S2021" s="544"/>
    </row>
    <row r="2022" ht="14.25" customHeight="1">
      <c r="A2022" s="542"/>
      <c r="B2022" s="543"/>
      <c r="C2022" s="543"/>
      <c r="D2022" s="544"/>
      <c r="E2022" s="544"/>
      <c r="F2022" s="544"/>
      <c r="G2022" s="544"/>
      <c r="H2022" s="544"/>
      <c r="I2022" s="543"/>
      <c r="J2022" s="543"/>
      <c r="K2022" s="544"/>
      <c r="L2022" s="543"/>
      <c r="M2022" s="544"/>
      <c r="N2022" s="543"/>
      <c r="O2022" s="544"/>
      <c r="P2022" s="544"/>
      <c r="Q2022" s="544"/>
      <c r="R2022" s="544"/>
      <c r="S2022" s="544"/>
    </row>
    <row r="2023" ht="14.25" customHeight="1">
      <c r="A2023" s="542"/>
      <c r="B2023" s="543"/>
      <c r="C2023" s="543"/>
      <c r="D2023" s="544"/>
      <c r="E2023" s="544"/>
      <c r="F2023" s="544"/>
      <c r="G2023" s="544"/>
      <c r="H2023" s="544"/>
      <c r="I2023" s="543"/>
      <c r="J2023" s="543"/>
      <c r="K2023" s="544"/>
      <c r="L2023" s="543"/>
      <c r="M2023" s="544"/>
      <c r="N2023" s="543"/>
      <c r="O2023" s="544"/>
      <c r="P2023" s="544"/>
      <c r="Q2023" s="544"/>
      <c r="R2023" s="544"/>
      <c r="S2023" s="544"/>
    </row>
    <row r="2024" ht="14.25" customHeight="1">
      <c r="A2024" s="542"/>
      <c r="B2024" s="543"/>
      <c r="C2024" s="543"/>
      <c r="D2024" s="544"/>
      <c r="E2024" s="544"/>
      <c r="F2024" s="544"/>
      <c r="G2024" s="544"/>
      <c r="H2024" s="544"/>
      <c r="I2024" s="543"/>
      <c r="J2024" s="543"/>
      <c r="K2024" s="544"/>
      <c r="L2024" s="543"/>
      <c r="M2024" s="544"/>
      <c r="N2024" s="543"/>
      <c r="O2024" s="544"/>
      <c r="P2024" s="544"/>
      <c r="Q2024" s="544"/>
      <c r="R2024" s="544"/>
      <c r="S2024" s="544"/>
    </row>
    <row r="2025" ht="14.25" customHeight="1">
      <c r="A2025" s="542"/>
      <c r="B2025" s="543"/>
      <c r="C2025" s="543"/>
      <c r="D2025" s="544"/>
      <c r="E2025" s="544"/>
      <c r="F2025" s="544"/>
      <c r="G2025" s="544"/>
      <c r="H2025" s="544"/>
      <c r="I2025" s="543"/>
      <c r="J2025" s="543"/>
      <c r="K2025" s="544"/>
      <c r="L2025" s="543"/>
      <c r="M2025" s="544"/>
      <c r="N2025" s="543"/>
      <c r="O2025" s="544"/>
      <c r="P2025" s="544"/>
      <c r="Q2025" s="544"/>
      <c r="R2025" s="544"/>
      <c r="S2025" s="544"/>
    </row>
    <row r="2026" ht="14.25" customHeight="1">
      <c r="A2026" s="542"/>
      <c r="B2026" s="543"/>
      <c r="C2026" s="543"/>
      <c r="D2026" s="544"/>
      <c r="E2026" s="544"/>
      <c r="F2026" s="544"/>
      <c r="G2026" s="544"/>
      <c r="H2026" s="544"/>
      <c r="I2026" s="543"/>
      <c r="J2026" s="543"/>
      <c r="K2026" s="544"/>
      <c r="L2026" s="543"/>
      <c r="M2026" s="544"/>
      <c r="N2026" s="543"/>
      <c r="O2026" s="544"/>
      <c r="P2026" s="544"/>
      <c r="Q2026" s="544"/>
      <c r="R2026" s="544"/>
      <c r="S2026" s="544"/>
    </row>
    <row r="2027" ht="14.25" customHeight="1">
      <c r="A2027" s="542"/>
      <c r="B2027" s="543"/>
      <c r="C2027" s="543"/>
      <c r="D2027" s="544"/>
      <c r="E2027" s="544"/>
      <c r="F2027" s="544"/>
      <c r="G2027" s="544"/>
      <c r="H2027" s="544"/>
      <c r="I2027" s="543"/>
      <c r="J2027" s="543"/>
      <c r="K2027" s="544"/>
      <c r="L2027" s="543"/>
      <c r="M2027" s="544"/>
      <c r="N2027" s="543"/>
      <c r="O2027" s="544"/>
      <c r="P2027" s="544"/>
      <c r="Q2027" s="544"/>
      <c r="R2027" s="544"/>
      <c r="S2027" s="544"/>
    </row>
    <row r="2028" ht="14.25" customHeight="1">
      <c r="A2028" s="542"/>
      <c r="B2028" s="543"/>
      <c r="C2028" s="543"/>
      <c r="D2028" s="544"/>
      <c r="E2028" s="544"/>
      <c r="F2028" s="544"/>
      <c r="G2028" s="544"/>
      <c r="H2028" s="544"/>
      <c r="I2028" s="543"/>
      <c r="J2028" s="543"/>
      <c r="K2028" s="544"/>
      <c r="L2028" s="543"/>
      <c r="M2028" s="544"/>
      <c r="N2028" s="543"/>
      <c r="O2028" s="544"/>
      <c r="P2028" s="544"/>
      <c r="Q2028" s="544"/>
      <c r="R2028" s="544"/>
      <c r="S2028" s="544"/>
    </row>
    <row r="2029" ht="14.25" customHeight="1">
      <c r="A2029" s="542"/>
      <c r="B2029" s="543"/>
      <c r="C2029" s="543"/>
      <c r="D2029" s="544"/>
      <c r="E2029" s="544"/>
      <c r="F2029" s="544"/>
      <c r="G2029" s="544"/>
      <c r="H2029" s="544"/>
      <c r="I2029" s="543"/>
      <c r="J2029" s="543"/>
      <c r="K2029" s="544"/>
      <c r="L2029" s="543"/>
      <c r="M2029" s="544"/>
      <c r="N2029" s="543"/>
      <c r="O2029" s="544"/>
      <c r="P2029" s="544"/>
      <c r="Q2029" s="544"/>
      <c r="R2029" s="544"/>
      <c r="S2029" s="544"/>
    </row>
    <row r="2030" ht="14.25" customHeight="1">
      <c r="A2030" s="542"/>
      <c r="B2030" s="543"/>
      <c r="C2030" s="543"/>
      <c r="D2030" s="544"/>
      <c r="E2030" s="544"/>
      <c r="F2030" s="544"/>
      <c r="G2030" s="544"/>
      <c r="H2030" s="544"/>
      <c r="I2030" s="543"/>
      <c r="J2030" s="543"/>
      <c r="K2030" s="544"/>
      <c r="L2030" s="543"/>
      <c r="M2030" s="544"/>
      <c r="N2030" s="543"/>
      <c r="O2030" s="544"/>
      <c r="P2030" s="544"/>
      <c r="Q2030" s="544"/>
      <c r="R2030" s="544"/>
      <c r="S2030" s="544"/>
    </row>
    <row r="2031" ht="14.25" customHeight="1">
      <c r="A2031" s="542"/>
      <c r="B2031" s="543"/>
      <c r="C2031" s="543"/>
      <c r="D2031" s="544"/>
      <c r="E2031" s="544"/>
      <c r="F2031" s="544"/>
      <c r="G2031" s="544"/>
      <c r="H2031" s="544"/>
      <c r="I2031" s="543"/>
      <c r="J2031" s="543"/>
      <c r="K2031" s="544"/>
      <c r="L2031" s="543"/>
      <c r="M2031" s="544"/>
      <c r="N2031" s="543"/>
      <c r="O2031" s="544"/>
      <c r="P2031" s="544"/>
      <c r="Q2031" s="544"/>
      <c r="R2031" s="544"/>
      <c r="S2031" s="544"/>
    </row>
    <row r="2032" ht="14.25" customHeight="1">
      <c r="A2032" s="542"/>
      <c r="B2032" s="543"/>
      <c r="C2032" s="543"/>
      <c r="D2032" s="544"/>
      <c r="E2032" s="544"/>
      <c r="F2032" s="544"/>
      <c r="G2032" s="544"/>
      <c r="H2032" s="544"/>
      <c r="I2032" s="543"/>
      <c r="J2032" s="543"/>
      <c r="K2032" s="544"/>
      <c r="L2032" s="543"/>
      <c r="M2032" s="544"/>
      <c r="N2032" s="543"/>
      <c r="O2032" s="544"/>
      <c r="P2032" s="544"/>
      <c r="Q2032" s="544"/>
      <c r="R2032" s="544"/>
      <c r="S2032" s="544"/>
    </row>
    <row r="2033" ht="14.25" customHeight="1">
      <c r="A2033" s="542"/>
      <c r="B2033" s="543"/>
      <c r="C2033" s="543"/>
      <c r="D2033" s="544"/>
      <c r="E2033" s="544"/>
      <c r="F2033" s="544"/>
      <c r="G2033" s="544"/>
      <c r="H2033" s="544"/>
      <c r="I2033" s="543"/>
      <c r="J2033" s="543"/>
      <c r="K2033" s="544"/>
      <c r="L2033" s="543"/>
      <c r="M2033" s="544"/>
      <c r="N2033" s="543"/>
      <c r="O2033" s="544"/>
      <c r="P2033" s="544"/>
      <c r="Q2033" s="544"/>
      <c r="R2033" s="544"/>
      <c r="S2033" s="544"/>
    </row>
    <row r="2034" ht="14.25" customHeight="1">
      <c r="A2034" s="542"/>
      <c r="B2034" s="543"/>
      <c r="C2034" s="543"/>
      <c r="D2034" s="544"/>
      <c r="E2034" s="544"/>
      <c r="F2034" s="544"/>
      <c r="G2034" s="544"/>
      <c r="H2034" s="544"/>
      <c r="I2034" s="543"/>
      <c r="J2034" s="543"/>
      <c r="K2034" s="544"/>
      <c r="L2034" s="543"/>
      <c r="M2034" s="544"/>
      <c r="N2034" s="543"/>
      <c r="O2034" s="544"/>
      <c r="P2034" s="544"/>
      <c r="Q2034" s="544"/>
      <c r="R2034" s="544"/>
      <c r="S2034" s="544"/>
    </row>
    <row r="2035" ht="14.25" customHeight="1">
      <c r="A2035" s="542"/>
      <c r="B2035" s="543"/>
      <c r="C2035" s="543"/>
      <c r="D2035" s="544"/>
      <c r="E2035" s="544"/>
      <c r="F2035" s="544"/>
      <c r="G2035" s="544"/>
      <c r="H2035" s="544"/>
      <c r="I2035" s="543"/>
      <c r="J2035" s="543"/>
      <c r="K2035" s="544"/>
      <c r="L2035" s="543"/>
      <c r="M2035" s="544"/>
      <c r="N2035" s="543"/>
      <c r="O2035" s="544"/>
      <c r="P2035" s="544"/>
      <c r="Q2035" s="544"/>
      <c r="R2035" s="544"/>
      <c r="S2035" s="544"/>
    </row>
    <row r="2036" ht="14.25" customHeight="1">
      <c r="A2036" s="542"/>
      <c r="B2036" s="543"/>
      <c r="C2036" s="543"/>
      <c r="D2036" s="544"/>
      <c r="E2036" s="544"/>
      <c r="F2036" s="544"/>
      <c r="G2036" s="544"/>
      <c r="H2036" s="544"/>
      <c r="I2036" s="543"/>
      <c r="J2036" s="543"/>
      <c r="K2036" s="544"/>
      <c r="L2036" s="543"/>
      <c r="M2036" s="544"/>
      <c r="N2036" s="543"/>
      <c r="O2036" s="544"/>
      <c r="P2036" s="544"/>
      <c r="Q2036" s="544"/>
      <c r="R2036" s="544"/>
      <c r="S2036" s="544"/>
    </row>
    <row r="2037" ht="14.25" customHeight="1">
      <c r="A2037" s="542"/>
      <c r="B2037" s="543"/>
      <c r="C2037" s="543"/>
      <c r="D2037" s="544"/>
      <c r="E2037" s="544"/>
      <c r="F2037" s="544"/>
      <c r="G2037" s="544"/>
      <c r="H2037" s="544"/>
      <c r="I2037" s="543"/>
      <c r="J2037" s="543"/>
      <c r="K2037" s="544"/>
      <c r="L2037" s="543"/>
      <c r="M2037" s="544"/>
      <c r="N2037" s="543"/>
      <c r="O2037" s="544"/>
      <c r="P2037" s="544"/>
      <c r="Q2037" s="544"/>
      <c r="R2037" s="544"/>
      <c r="S2037" s="544"/>
    </row>
    <row r="2038" ht="14.25" customHeight="1">
      <c r="A2038" s="542"/>
      <c r="B2038" s="543"/>
      <c r="C2038" s="543"/>
      <c r="D2038" s="544"/>
      <c r="E2038" s="544"/>
      <c r="F2038" s="544"/>
      <c r="G2038" s="544"/>
      <c r="H2038" s="544"/>
      <c r="I2038" s="543"/>
      <c r="J2038" s="543"/>
      <c r="K2038" s="544"/>
      <c r="L2038" s="543"/>
      <c r="M2038" s="544"/>
      <c r="N2038" s="543"/>
      <c r="O2038" s="544"/>
      <c r="P2038" s="544"/>
      <c r="Q2038" s="544"/>
      <c r="R2038" s="544"/>
      <c r="S2038" s="544"/>
    </row>
    <row r="2039" ht="14.25" customHeight="1">
      <c r="A2039" s="542"/>
      <c r="B2039" s="543"/>
      <c r="C2039" s="543"/>
      <c r="D2039" s="544"/>
      <c r="E2039" s="544"/>
      <c r="F2039" s="544"/>
      <c r="G2039" s="544"/>
      <c r="H2039" s="544"/>
      <c r="I2039" s="543"/>
      <c r="J2039" s="543"/>
      <c r="K2039" s="544"/>
      <c r="L2039" s="543"/>
      <c r="M2039" s="544"/>
      <c r="N2039" s="543"/>
      <c r="O2039" s="544"/>
      <c r="P2039" s="544"/>
      <c r="Q2039" s="544"/>
      <c r="R2039" s="544"/>
      <c r="S2039" s="544"/>
    </row>
    <row r="2040" ht="14.25" customHeight="1">
      <c r="A2040" s="542"/>
      <c r="B2040" s="543"/>
      <c r="C2040" s="543"/>
      <c r="D2040" s="544"/>
      <c r="E2040" s="544"/>
      <c r="F2040" s="544"/>
      <c r="G2040" s="544"/>
      <c r="H2040" s="544"/>
      <c r="I2040" s="543"/>
      <c r="J2040" s="543"/>
      <c r="K2040" s="544"/>
      <c r="L2040" s="543"/>
      <c r="M2040" s="544"/>
      <c r="N2040" s="543"/>
      <c r="O2040" s="544"/>
      <c r="P2040" s="544"/>
      <c r="Q2040" s="544"/>
      <c r="R2040" s="544"/>
      <c r="S2040" s="544"/>
    </row>
    <row r="2041" ht="14.25" customHeight="1">
      <c r="A2041" s="542"/>
      <c r="B2041" s="543"/>
      <c r="C2041" s="543"/>
      <c r="D2041" s="544"/>
      <c r="E2041" s="544"/>
      <c r="F2041" s="544"/>
      <c r="G2041" s="544"/>
      <c r="H2041" s="544"/>
      <c r="I2041" s="543"/>
      <c r="J2041" s="543"/>
      <c r="K2041" s="544"/>
      <c r="L2041" s="543"/>
      <c r="M2041" s="544"/>
      <c r="N2041" s="543"/>
      <c r="O2041" s="544"/>
      <c r="P2041" s="544"/>
      <c r="Q2041" s="544"/>
      <c r="R2041" s="544"/>
      <c r="S2041" s="544"/>
    </row>
    <row r="2042" ht="14.25" customHeight="1">
      <c r="A2042" s="542"/>
      <c r="B2042" s="543"/>
      <c r="C2042" s="543"/>
      <c r="D2042" s="544"/>
      <c r="E2042" s="544"/>
      <c r="F2042" s="544"/>
      <c r="G2042" s="544"/>
      <c r="H2042" s="544"/>
      <c r="I2042" s="543"/>
      <c r="J2042" s="543"/>
      <c r="K2042" s="544"/>
      <c r="L2042" s="543"/>
      <c r="M2042" s="544"/>
      <c r="N2042" s="543"/>
      <c r="O2042" s="544"/>
      <c r="P2042" s="544"/>
      <c r="Q2042" s="544"/>
      <c r="R2042" s="544"/>
      <c r="S2042" s="544"/>
    </row>
    <row r="2043" ht="14.25" customHeight="1">
      <c r="A2043" s="542"/>
      <c r="B2043" s="543"/>
      <c r="C2043" s="543"/>
      <c r="D2043" s="544"/>
      <c r="E2043" s="544"/>
      <c r="F2043" s="544"/>
      <c r="G2043" s="544"/>
      <c r="H2043" s="544"/>
      <c r="I2043" s="543"/>
      <c r="J2043" s="543"/>
      <c r="K2043" s="544"/>
      <c r="L2043" s="543"/>
      <c r="M2043" s="544"/>
      <c r="N2043" s="543"/>
      <c r="O2043" s="544"/>
      <c r="P2043" s="544"/>
      <c r="Q2043" s="544"/>
      <c r="R2043" s="544"/>
      <c r="S2043" s="544"/>
    </row>
    <row r="2044" ht="14.25" customHeight="1">
      <c r="A2044" s="542"/>
      <c r="B2044" s="543"/>
      <c r="C2044" s="543"/>
      <c r="D2044" s="544"/>
      <c r="E2044" s="544"/>
      <c r="F2044" s="544"/>
      <c r="G2044" s="544"/>
      <c r="H2044" s="544"/>
      <c r="I2044" s="543"/>
      <c r="J2044" s="543"/>
      <c r="K2044" s="544"/>
      <c r="L2044" s="543"/>
      <c r="M2044" s="544"/>
      <c r="N2044" s="543"/>
      <c r="O2044" s="544"/>
      <c r="P2044" s="544"/>
      <c r="Q2044" s="544"/>
      <c r="R2044" s="544"/>
      <c r="S2044" s="544"/>
    </row>
    <row r="2045" ht="14.25" customHeight="1">
      <c r="A2045" s="542"/>
      <c r="B2045" s="543"/>
      <c r="C2045" s="543"/>
      <c r="D2045" s="544"/>
      <c r="E2045" s="544"/>
      <c r="F2045" s="544"/>
      <c r="G2045" s="544"/>
      <c r="H2045" s="544"/>
      <c r="I2045" s="543"/>
      <c r="J2045" s="543"/>
      <c r="K2045" s="544"/>
      <c r="L2045" s="543"/>
      <c r="M2045" s="544"/>
      <c r="N2045" s="543"/>
      <c r="O2045" s="544"/>
      <c r="P2045" s="544"/>
      <c r="Q2045" s="544"/>
      <c r="R2045" s="544"/>
      <c r="S2045" s="544"/>
    </row>
    <row r="2046" ht="14.25" customHeight="1">
      <c r="A2046" s="542"/>
      <c r="B2046" s="543"/>
      <c r="C2046" s="543"/>
      <c r="D2046" s="544"/>
      <c r="E2046" s="544"/>
      <c r="F2046" s="544"/>
      <c r="G2046" s="544"/>
      <c r="H2046" s="544"/>
      <c r="I2046" s="543"/>
      <c r="J2046" s="543"/>
      <c r="K2046" s="544"/>
      <c r="L2046" s="543"/>
      <c r="M2046" s="544"/>
      <c r="N2046" s="543"/>
      <c r="O2046" s="544"/>
      <c r="P2046" s="544"/>
      <c r="Q2046" s="544"/>
      <c r="R2046" s="544"/>
      <c r="S2046" s="544"/>
    </row>
    <row r="2047" ht="14.25" customHeight="1">
      <c r="A2047" s="542"/>
      <c r="B2047" s="543"/>
      <c r="C2047" s="543"/>
      <c r="D2047" s="544"/>
      <c r="E2047" s="544"/>
      <c r="F2047" s="544"/>
      <c r="G2047" s="544"/>
      <c r="H2047" s="544"/>
      <c r="I2047" s="543"/>
      <c r="J2047" s="543"/>
      <c r="K2047" s="544"/>
      <c r="L2047" s="543"/>
      <c r="M2047" s="544"/>
      <c r="N2047" s="543"/>
      <c r="O2047" s="544"/>
      <c r="P2047" s="544"/>
      <c r="Q2047" s="544"/>
      <c r="R2047" s="544"/>
      <c r="S2047" s="544"/>
    </row>
    <row r="2048" ht="14.25" customHeight="1">
      <c r="A2048" s="542"/>
      <c r="B2048" s="543"/>
      <c r="C2048" s="543"/>
      <c r="D2048" s="544"/>
      <c r="E2048" s="544"/>
      <c r="F2048" s="544"/>
      <c r="G2048" s="544"/>
      <c r="H2048" s="544"/>
      <c r="I2048" s="543"/>
      <c r="J2048" s="543"/>
      <c r="K2048" s="544"/>
      <c r="L2048" s="543"/>
      <c r="M2048" s="544"/>
      <c r="N2048" s="543"/>
      <c r="O2048" s="544"/>
      <c r="P2048" s="544"/>
      <c r="Q2048" s="544"/>
      <c r="R2048" s="544"/>
      <c r="S2048" s="544"/>
    </row>
    <row r="2049" ht="14.25" customHeight="1">
      <c r="A2049" s="542"/>
      <c r="B2049" s="543"/>
      <c r="C2049" s="543"/>
      <c r="D2049" s="544"/>
      <c r="E2049" s="544"/>
      <c r="F2049" s="544"/>
      <c r="G2049" s="544"/>
      <c r="H2049" s="544"/>
      <c r="I2049" s="543"/>
      <c r="J2049" s="543"/>
      <c r="K2049" s="544"/>
      <c r="L2049" s="543"/>
      <c r="M2049" s="544"/>
      <c r="N2049" s="543"/>
      <c r="O2049" s="544"/>
      <c r="P2049" s="544"/>
      <c r="Q2049" s="544"/>
      <c r="R2049" s="544"/>
      <c r="S2049" s="544"/>
    </row>
    <row r="2050" ht="14.25" customHeight="1">
      <c r="A2050" s="542"/>
      <c r="B2050" s="543"/>
      <c r="C2050" s="543"/>
      <c r="D2050" s="544"/>
      <c r="E2050" s="544"/>
      <c r="F2050" s="544"/>
      <c r="G2050" s="544"/>
      <c r="H2050" s="544"/>
      <c r="I2050" s="543"/>
      <c r="J2050" s="543"/>
      <c r="K2050" s="544"/>
      <c r="L2050" s="543"/>
      <c r="M2050" s="544"/>
      <c r="N2050" s="543"/>
      <c r="O2050" s="544"/>
      <c r="P2050" s="544"/>
      <c r="Q2050" s="544"/>
      <c r="R2050" s="544"/>
      <c r="S2050" s="544"/>
    </row>
    <row r="2051" ht="14.25" customHeight="1">
      <c r="A2051" s="542"/>
      <c r="B2051" s="543"/>
      <c r="C2051" s="543"/>
      <c r="D2051" s="544"/>
      <c r="E2051" s="544"/>
      <c r="F2051" s="544"/>
      <c r="G2051" s="544"/>
      <c r="H2051" s="544"/>
      <c r="I2051" s="543"/>
      <c r="J2051" s="543"/>
      <c r="K2051" s="544"/>
      <c r="L2051" s="543"/>
      <c r="M2051" s="544"/>
      <c r="N2051" s="543"/>
      <c r="O2051" s="544"/>
      <c r="P2051" s="544"/>
      <c r="Q2051" s="544"/>
      <c r="R2051" s="544"/>
      <c r="S2051" s="544"/>
    </row>
    <row r="2052" ht="14.25" customHeight="1">
      <c r="A2052" s="542"/>
      <c r="B2052" s="543"/>
      <c r="C2052" s="543"/>
      <c r="D2052" s="544"/>
      <c r="E2052" s="544"/>
      <c r="F2052" s="544"/>
      <c r="G2052" s="544"/>
      <c r="H2052" s="544"/>
      <c r="I2052" s="543"/>
      <c r="J2052" s="543"/>
      <c r="K2052" s="544"/>
      <c r="L2052" s="543"/>
      <c r="M2052" s="544"/>
      <c r="N2052" s="543"/>
      <c r="O2052" s="544"/>
      <c r="P2052" s="544"/>
      <c r="Q2052" s="544"/>
      <c r="R2052" s="544"/>
      <c r="S2052" s="544"/>
    </row>
    <row r="2053" ht="14.25" customHeight="1">
      <c r="A2053" s="542"/>
      <c r="B2053" s="543"/>
      <c r="C2053" s="543"/>
      <c r="D2053" s="544"/>
      <c r="E2053" s="544"/>
      <c r="F2053" s="544"/>
      <c r="G2053" s="544"/>
      <c r="H2053" s="544"/>
      <c r="I2053" s="543"/>
      <c r="J2053" s="543"/>
      <c r="K2053" s="544"/>
      <c r="L2053" s="543"/>
      <c r="M2053" s="544"/>
      <c r="N2053" s="543"/>
      <c r="O2053" s="544"/>
      <c r="P2053" s="544"/>
      <c r="Q2053" s="544"/>
      <c r="R2053" s="544"/>
      <c r="S2053" s="544"/>
    </row>
    <row r="2054" ht="14.25" customHeight="1">
      <c r="A2054" s="542"/>
      <c r="B2054" s="543"/>
      <c r="C2054" s="543"/>
      <c r="D2054" s="544"/>
      <c r="E2054" s="544"/>
      <c r="F2054" s="544"/>
      <c r="G2054" s="544"/>
      <c r="H2054" s="544"/>
      <c r="I2054" s="543"/>
      <c r="J2054" s="543"/>
      <c r="K2054" s="544"/>
      <c r="L2054" s="543"/>
      <c r="M2054" s="544"/>
      <c r="N2054" s="543"/>
      <c r="O2054" s="544"/>
      <c r="P2054" s="544"/>
      <c r="Q2054" s="544"/>
      <c r="R2054" s="544"/>
      <c r="S2054" s="544"/>
    </row>
    <row r="2055" ht="14.25" customHeight="1">
      <c r="A2055" s="542"/>
      <c r="B2055" s="543"/>
      <c r="C2055" s="543"/>
      <c r="D2055" s="544"/>
      <c r="E2055" s="544"/>
      <c r="F2055" s="544"/>
      <c r="G2055" s="544"/>
      <c r="H2055" s="544"/>
      <c r="I2055" s="543"/>
      <c r="J2055" s="543"/>
      <c r="K2055" s="544"/>
      <c r="L2055" s="543"/>
      <c r="M2055" s="544"/>
      <c r="N2055" s="543"/>
      <c r="O2055" s="544"/>
      <c r="P2055" s="544"/>
      <c r="Q2055" s="544"/>
      <c r="R2055" s="544"/>
      <c r="S2055" s="544"/>
    </row>
    <row r="2056" ht="14.25" customHeight="1">
      <c r="A2056" s="542"/>
      <c r="B2056" s="543"/>
      <c r="C2056" s="543"/>
      <c r="D2056" s="544"/>
      <c r="E2056" s="544"/>
      <c r="F2056" s="544"/>
      <c r="G2056" s="544"/>
      <c r="H2056" s="544"/>
      <c r="I2056" s="543"/>
      <c r="J2056" s="543"/>
      <c r="K2056" s="544"/>
      <c r="L2056" s="543"/>
      <c r="M2056" s="544"/>
      <c r="N2056" s="543"/>
      <c r="O2056" s="544"/>
      <c r="P2056" s="544"/>
      <c r="Q2056" s="544"/>
      <c r="R2056" s="544"/>
      <c r="S2056" s="544"/>
    </row>
    <row r="2057" ht="14.25" customHeight="1">
      <c r="A2057" s="542"/>
      <c r="B2057" s="543"/>
      <c r="C2057" s="543"/>
      <c r="D2057" s="544"/>
      <c r="E2057" s="544"/>
      <c r="F2057" s="544"/>
      <c r="G2057" s="544"/>
      <c r="H2057" s="544"/>
      <c r="I2057" s="543"/>
      <c r="J2057" s="543"/>
      <c r="K2057" s="544"/>
      <c r="L2057" s="543"/>
      <c r="M2057" s="544"/>
      <c r="N2057" s="543"/>
      <c r="O2057" s="544"/>
      <c r="P2057" s="544"/>
      <c r="Q2057" s="544"/>
      <c r="R2057" s="544"/>
      <c r="S2057" s="544"/>
    </row>
    <row r="2058" ht="14.25" customHeight="1">
      <c r="A2058" s="542"/>
      <c r="B2058" s="543"/>
      <c r="C2058" s="543"/>
      <c r="D2058" s="544"/>
      <c r="E2058" s="544"/>
      <c r="F2058" s="544"/>
      <c r="G2058" s="544"/>
      <c r="H2058" s="544"/>
      <c r="I2058" s="543"/>
      <c r="J2058" s="543"/>
      <c r="K2058" s="544"/>
      <c r="L2058" s="543"/>
      <c r="M2058" s="544"/>
      <c r="N2058" s="543"/>
      <c r="O2058" s="544"/>
      <c r="P2058" s="544"/>
      <c r="Q2058" s="544"/>
      <c r="R2058" s="544"/>
      <c r="S2058" s="544"/>
    </row>
    <row r="2059" ht="14.25" customHeight="1">
      <c r="A2059" s="542"/>
      <c r="B2059" s="543"/>
      <c r="C2059" s="543"/>
      <c r="D2059" s="544"/>
      <c r="E2059" s="544"/>
      <c r="F2059" s="544"/>
      <c r="G2059" s="544"/>
      <c r="H2059" s="544"/>
      <c r="I2059" s="543"/>
      <c r="J2059" s="543"/>
      <c r="K2059" s="544"/>
      <c r="L2059" s="543"/>
      <c r="M2059" s="544"/>
      <c r="N2059" s="543"/>
      <c r="O2059" s="544"/>
      <c r="P2059" s="544"/>
      <c r="Q2059" s="544"/>
      <c r="R2059" s="544"/>
      <c r="S2059" s="544"/>
    </row>
    <row r="2060" ht="14.25" customHeight="1">
      <c r="A2060" s="542"/>
      <c r="B2060" s="543"/>
      <c r="C2060" s="543"/>
      <c r="D2060" s="544"/>
      <c r="E2060" s="544"/>
      <c r="F2060" s="544"/>
      <c r="G2060" s="544"/>
      <c r="H2060" s="544"/>
      <c r="I2060" s="543"/>
      <c r="J2060" s="543"/>
      <c r="K2060" s="544"/>
      <c r="L2060" s="543"/>
      <c r="M2060" s="544"/>
      <c r="N2060" s="543"/>
      <c r="O2060" s="544"/>
      <c r="P2060" s="544"/>
      <c r="Q2060" s="544"/>
      <c r="R2060" s="544"/>
      <c r="S2060" s="544"/>
    </row>
    <row r="2061" ht="14.25" customHeight="1">
      <c r="A2061" s="542"/>
      <c r="B2061" s="543"/>
      <c r="C2061" s="543"/>
      <c r="D2061" s="544"/>
      <c r="E2061" s="544"/>
      <c r="F2061" s="544"/>
      <c r="G2061" s="544"/>
      <c r="H2061" s="544"/>
      <c r="I2061" s="543"/>
      <c r="J2061" s="543"/>
      <c r="K2061" s="544"/>
      <c r="L2061" s="543"/>
      <c r="M2061" s="544"/>
      <c r="N2061" s="543"/>
      <c r="O2061" s="544"/>
      <c r="P2061" s="544"/>
      <c r="Q2061" s="544"/>
      <c r="R2061" s="544"/>
      <c r="S2061" s="544"/>
    </row>
    <row r="2062" ht="14.25" customHeight="1">
      <c r="A2062" s="542"/>
      <c r="B2062" s="543"/>
      <c r="C2062" s="543"/>
      <c r="D2062" s="544"/>
      <c r="E2062" s="544"/>
      <c r="F2062" s="544"/>
      <c r="G2062" s="544"/>
      <c r="H2062" s="544"/>
      <c r="I2062" s="543"/>
      <c r="J2062" s="543"/>
      <c r="K2062" s="544"/>
      <c r="L2062" s="543"/>
      <c r="M2062" s="544"/>
      <c r="N2062" s="543"/>
      <c r="O2062" s="544"/>
      <c r="P2062" s="544"/>
      <c r="Q2062" s="544"/>
      <c r="R2062" s="544"/>
      <c r="S2062" s="544"/>
    </row>
    <row r="2063" ht="14.25" customHeight="1">
      <c r="A2063" s="542"/>
      <c r="B2063" s="543"/>
      <c r="C2063" s="543"/>
      <c r="D2063" s="544"/>
      <c r="E2063" s="544"/>
      <c r="F2063" s="544"/>
      <c r="G2063" s="544"/>
      <c r="H2063" s="544"/>
      <c r="I2063" s="543"/>
      <c r="J2063" s="543"/>
      <c r="K2063" s="544"/>
      <c r="L2063" s="543"/>
      <c r="M2063" s="544"/>
      <c r="N2063" s="543"/>
      <c r="O2063" s="544"/>
      <c r="P2063" s="544"/>
      <c r="Q2063" s="544"/>
      <c r="R2063" s="544"/>
      <c r="S2063" s="544"/>
    </row>
    <row r="2064" ht="14.25" customHeight="1">
      <c r="A2064" s="542"/>
      <c r="B2064" s="543"/>
      <c r="C2064" s="543"/>
      <c r="D2064" s="544"/>
      <c r="E2064" s="544"/>
      <c r="F2064" s="544"/>
      <c r="G2064" s="544"/>
      <c r="H2064" s="544"/>
      <c r="I2064" s="543"/>
      <c r="J2064" s="543"/>
      <c r="K2064" s="544"/>
      <c r="L2064" s="543"/>
      <c r="M2064" s="544"/>
      <c r="N2064" s="543"/>
      <c r="O2064" s="544"/>
      <c r="P2064" s="544"/>
      <c r="Q2064" s="544"/>
      <c r="R2064" s="544"/>
      <c r="S2064" s="544"/>
    </row>
    <row r="2065" ht="14.25" customHeight="1">
      <c r="A2065" s="542"/>
      <c r="B2065" s="543"/>
      <c r="C2065" s="543"/>
      <c r="D2065" s="544"/>
      <c r="E2065" s="544"/>
      <c r="F2065" s="544"/>
      <c r="G2065" s="544"/>
      <c r="H2065" s="544"/>
      <c r="I2065" s="543"/>
      <c r="J2065" s="543"/>
      <c r="K2065" s="544"/>
      <c r="L2065" s="543"/>
      <c r="M2065" s="544"/>
      <c r="N2065" s="543"/>
      <c r="O2065" s="544"/>
      <c r="P2065" s="544"/>
      <c r="Q2065" s="544"/>
      <c r="R2065" s="544"/>
      <c r="S2065" s="544"/>
    </row>
    <row r="2066" ht="14.25" customHeight="1">
      <c r="A2066" s="542"/>
      <c r="B2066" s="543"/>
      <c r="C2066" s="543"/>
      <c r="D2066" s="544"/>
      <c r="E2066" s="544"/>
      <c r="F2066" s="544"/>
      <c r="G2066" s="544"/>
      <c r="H2066" s="544"/>
      <c r="I2066" s="543"/>
      <c r="J2066" s="543"/>
      <c r="K2066" s="544"/>
      <c r="L2066" s="543"/>
      <c r="M2066" s="544"/>
      <c r="N2066" s="543"/>
      <c r="O2066" s="544"/>
      <c r="P2066" s="544"/>
      <c r="Q2066" s="544"/>
      <c r="R2066" s="544"/>
      <c r="S2066" s="544"/>
    </row>
    <row r="2067" ht="14.25" customHeight="1">
      <c r="A2067" s="542"/>
      <c r="B2067" s="543"/>
      <c r="C2067" s="543"/>
      <c r="D2067" s="544"/>
      <c r="E2067" s="544"/>
      <c r="F2067" s="544"/>
      <c r="G2067" s="544"/>
      <c r="H2067" s="544"/>
      <c r="I2067" s="543"/>
      <c r="J2067" s="543"/>
      <c r="K2067" s="544"/>
      <c r="L2067" s="543"/>
      <c r="M2067" s="544"/>
      <c r="N2067" s="543"/>
      <c r="O2067" s="544"/>
      <c r="P2067" s="544"/>
      <c r="Q2067" s="544"/>
      <c r="R2067" s="544"/>
      <c r="S2067" s="544"/>
    </row>
    <row r="2068" ht="14.25" customHeight="1">
      <c r="A2068" s="542"/>
      <c r="B2068" s="543"/>
      <c r="C2068" s="543"/>
      <c r="D2068" s="544"/>
      <c r="E2068" s="544"/>
      <c r="F2068" s="544"/>
      <c r="G2068" s="544"/>
      <c r="H2068" s="544"/>
      <c r="I2068" s="543"/>
      <c r="J2068" s="543"/>
      <c r="K2068" s="544"/>
      <c r="L2068" s="543"/>
      <c r="M2068" s="544"/>
      <c r="N2068" s="543"/>
      <c r="O2068" s="544"/>
      <c r="P2068" s="544"/>
      <c r="Q2068" s="544"/>
      <c r="R2068" s="544"/>
      <c r="S2068" s="544"/>
    </row>
    <row r="2069" ht="14.25" customHeight="1">
      <c r="A2069" s="542"/>
      <c r="B2069" s="543"/>
      <c r="C2069" s="543"/>
      <c r="D2069" s="544"/>
      <c r="E2069" s="544"/>
      <c r="F2069" s="544"/>
      <c r="G2069" s="544"/>
      <c r="H2069" s="544"/>
      <c r="I2069" s="543"/>
      <c r="J2069" s="543"/>
      <c r="K2069" s="544"/>
      <c r="L2069" s="543"/>
      <c r="M2069" s="544"/>
      <c r="N2069" s="543"/>
      <c r="O2069" s="544"/>
      <c r="P2069" s="544"/>
      <c r="Q2069" s="544"/>
      <c r="R2069" s="544"/>
      <c r="S2069" s="544"/>
    </row>
    <row r="2070" ht="14.25" customHeight="1">
      <c r="A2070" s="542"/>
      <c r="B2070" s="543"/>
      <c r="C2070" s="543"/>
      <c r="D2070" s="544"/>
      <c r="E2070" s="544"/>
      <c r="F2070" s="544"/>
      <c r="G2070" s="544"/>
      <c r="H2070" s="544"/>
      <c r="I2070" s="543"/>
      <c r="J2070" s="543"/>
      <c r="K2070" s="544"/>
      <c r="L2070" s="543"/>
      <c r="M2070" s="544"/>
      <c r="N2070" s="543"/>
      <c r="O2070" s="544"/>
      <c r="P2070" s="544"/>
      <c r="Q2070" s="544"/>
      <c r="R2070" s="544"/>
      <c r="S2070" s="544"/>
    </row>
    <row r="2071" ht="14.25" customHeight="1">
      <c r="A2071" s="542"/>
      <c r="B2071" s="543"/>
      <c r="C2071" s="543"/>
      <c r="D2071" s="544"/>
      <c r="E2071" s="544"/>
      <c r="F2071" s="544"/>
      <c r="G2071" s="544"/>
      <c r="H2071" s="544"/>
      <c r="I2071" s="543"/>
      <c r="J2071" s="543"/>
      <c r="K2071" s="544"/>
      <c r="L2071" s="543"/>
      <c r="M2071" s="544"/>
      <c r="N2071" s="543"/>
      <c r="O2071" s="544"/>
      <c r="P2071" s="544"/>
      <c r="Q2071" s="544"/>
      <c r="R2071" s="544"/>
      <c r="S2071" s="544"/>
    </row>
    <row r="2072" ht="14.25" customHeight="1">
      <c r="A2072" s="542"/>
      <c r="B2072" s="543"/>
      <c r="C2072" s="543"/>
      <c r="D2072" s="544"/>
      <c r="E2072" s="544"/>
      <c r="F2072" s="544"/>
      <c r="G2072" s="544"/>
      <c r="H2072" s="544"/>
      <c r="I2072" s="543"/>
      <c r="J2072" s="543"/>
      <c r="K2072" s="544"/>
      <c r="L2072" s="543"/>
      <c r="M2072" s="544"/>
      <c r="N2072" s="543"/>
      <c r="O2072" s="544"/>
      <c r="P2072" s="544"/>
      <c r="Q2072" s="544"/>
      <c r="R2072" s="544"/>
      <c r="S2072" s="544"/>
    </row>
    <row r="2073" ht="14.25" customHeight="1">
      <c r="A2073" s="542"/>
      <c r="B2073" s="543"/>
      <c r="C2073" s="543"/>
      <c r="D2073" s="544"/>
      <c r="E2073" s="544"/>
      <c r="F2073" s="544"/>
      <c r="G2073" s="544"/>
      <c r="H2073" s="544"/>
      <c r="I2073" s="543"/>
      <c r="J2073" s="543"/>
      <c r="K2073" s="544"/>
      <c r="L2073" s="543"/>
      <c r="M2073" s="544"/>
      <c r="N2073" s="543"/>
      <c r="O2073" s="544"/>
      <c r="P2073" s="544"/>
      <c r="Q2073" s="544"/>
      <c r="R2073" s="544"/>
      <c r="S2073" s="544"/>
    </row>
    <row r="2074" ht="14.25" customHeight="1">
      <c r="A2074" s="542"/>
      <c r="B2074" s="543"/>
      <c r="C2074" s="543"/>
      <c r="D2074" s="544"/>
      <c r="E2074" s="544"/>
      <c r="F2074" s="544"/>
      <c r="G2074" s="544"/>
      <c r="H2074" s="544"/>
      <c r="I2074" s="543"/>
      <c r="J2074" s="543"/>
      <c r="K2074" s="544"/>
      <c r="L2074" s="543"/>
      <c r="M2074" s="544"/>
      <c r="N2074" s="543"/>
      <c r="O2074" s="544"/>
      <c r="P2074" s="544"/>
      <c r="Q2074" s="544"/>
      <c r="R2074" s="544"/>
      <c r="S2074" s="544"/>
    </row>
    <row r="2075" ht="14.25" customHeight="1">
      <c r="A2075" s="542"/>
      <c r="B2075" s="543"/>
      <c r="C2075" s="543"/>
      <c r="D2075" s="544"/>
      <c r="E2075" s="544"/>
      <c r="F2075" s="544"/>
      <c r="G2075" s="544"/>
      <c r="H2075" s="544"/>
      <c r="I2075" s="543"/>
      <c r="J2075" s="543"/>
      <c r="K2075" s="544"/>
      <c r="L2075" s="543"/>
      <c r="M2075" s="544"/>
      <c r="N2075" s="543"/>
      <c r="O2075" s="544"/>
      <c r="P2075" s="544"/>
      <c r="Q2075" s="544"/>
      <c r="R2075" s="544"/>
      <c r="S2075" s="544"/>
    </row>
    <row r="2076" ht="14.25" customHeight="1">
      <c r="A2076" s="542"/>
      <c r="B2076" s="543"/>
      <c r="C2076" s="543"/>
      <c r="D2076" s="544"/>
      <c r="E2076" s="544"/>
      <c r="F2076" s="544"/>
      <c r="G2076" s="544"/>
      <c r="H2076" s="544"/>
      <c r="I2076" s="543"/>
      <c r="J2076" s="543"/>
      <c r="K2076" s="544"/>
      <c r="L2076" s="543"/>
      <c r="M2076" s="544"/>
      <c r="N2076" s="543"/>
      <c r="O2076" s="544"/>
      <c r="P2076" s="544"/>
      <c r="Q2076" s="544"/>
      <c r="R2076" s="544"/>
      <c r="S2076" s="544"/>
    </row>
    <row r="2077" ht="14.25" customHeight="1">
      <c r="A2077" s="542"/>
      <c r="B2077" s="543"/>
      <c r="C2077" s="543"/>
      <c r="D2077" s="544"/>
      <c r="E2077" s="544"/>
      <c r="F2077" s="544"/>
      <c r="G2077" s="544"/>
      <c r="H2077" s="544"/>
      <c r="I2077" s="543"/>
      <c r="J2077" s="543"/>
      <c r="K2077" s="544"/>
      <c r="L2077" s="543"/>
      <c r="M2077" s="544"/>
      <c r="N2077" s="543"/>
      <c r="O2077" s="544"/>
      <c r="P2077" s="544"/>
      <c r="Q2077" s="544"/>
      <c r="R2077" s="544"/>
      <c r="S2077" s="544"/>
    </row>
    <row r="2078" ht="14.25" customHeight="1">
      <c r="A2078" s="542"/>
      <c r="B2078" s="543"/>
      <c r="C2078" s="543"/>
      <c r="D2078" s="544"/>
      <c r="E2078" s="544"/>
      <c r="F2078" s="544"/>
      <c r="G2078" s="544"/>
      <c r="H2078" s="544"/>
      <c r="I2078" s="543"/>
      <c r="J2078" s="543"/>
      <c r="K2078" s="544"/>
      <c r="L2078" s="543"/>
      <c r="M2078" s="544"/>
      <c r="N2078" s="543"/>
      <c r="O2078" s="544"/>
      <c r="P2078" s="544"/>
      <c r="Q2078" s="544"/>
      <c r="R2078" s="544"/>
      <c r="S2078" s="544"/>
    </row>
    <row r="2079" ht="14.25" customHeight="1">
      <c r="A2079" s="542"/>
      <c r="B2079" s="543"/>
      <c r="C2079" s="543"/>
      <c r="D2079" s="544"/>
      <c r="E2079" s="544"/>
      <c r="F2079" s="544"/>
      <c r="G2079" s="544"/>
      <c r="H2079" s="544"/>
      <c r="I2079" s="543"/>
      <c r="J2079" s="543"/>
      <c r="K2079" s="544"/>
      <c r="L2079" s="543"/>
      <c r="M2079" s="544"/>
      <c r="N2079" s="543"/>
      <c r="O2079" s="544"/>
      <c r="P2079" s="544"/>
      <c r="Q2079" s="544"/>
      <c r="R2079" s="544"/>
      <c r="S2079" s="544"/>
    </row>
    <row r="2080" ht="14.25" customHeight="1">
      <c r="A2080" s="542"/>
      <c r="B2080" s="543"/>
      <c r="C2080" s="543"/>
      <c r="D2080" s="544"/>
      <c r="E2080" s="544"/>
      <c r="F2080" s="544"/>
      <c r="G2080" s="544"/>
      <c r="H2080" s="544"/>
      <c r="I2080" s="543"/>
      <c r="J2080" s="543"/>
      <c r="K2080" s="544"/>
      <c r="L2080" s="543"/>
      <c r="M2080" s="544"/>
      <c r="N2080" s="543"/>
      <c r="O2080" s="544"/>
      <c r="P2080" s="544"/>
      <c r="Q2080" s="544"/>
      <c r="R2080" s="544"/>
      <c r="S2080" s="544"/>
    </row>
    <row r="2081" ht="14.25" customHeight="1">
      <c r="A2081" s="542"/>
      <c r="B2081" s="543"/>
      <c r="C2081" s="543"/>
      <c r="D2081" s="544"/>
      <c r="E2081" s="544"/>
      <c r="F2081" s="544"/>
      <c r="G2081" s="544"/>
      <c r="H2081" s="544"/>
      <c r="I2081" s="543"/>
      <c r="J2081" s="543"/>
      <c r="K2081" s="544"/>
      <c r="L2081" s="543"/>
      <c r="M2081" s="544"/>
      <c r="N2081" s="543"/>
      <c r="O2081" s="544"/>
      <c r="P2081" s="544"/>
      <c r="Q2081" s="544"/>
      <c r="R2081" s="544"/>
      <c r="S2081" s="544"/>
    </row>
    <row r="2082" ht="14.25" customHeight="1">
      <c r="A2082" s="542"/>
      <c r="B2082" s="543"/>
      <c r="C2082" s="543"/>
      <c r="D2082" s="544"/>
      <c r="E2082" s="544"/>
      <c r="F2082" s="544"/>
      <c r="G2082" s="544"/>
      <c r="H2082" s="544"/>
      <c r="I2082" s="543"/>
      <c r="J2082" s="543"/>
      <c r="K2082" s="544"/>
      <c r="L2082" s="543"/>
      <c r="M2082" s="544"/>
      <c r="N2082" s="543"/>
      <c r="O2082" s="544"/>
      <c r="P2082" s="544"/>
      <c r="Q2082" s="544"/>
      <c r="R2082" s="544"/>
      <c r="S2082" s="544"/>
    </row>
    <row r="2083" ht="14.25" customHeight="1">
      <c r="A2083" s="542"/>
      <c r="B2083" s="543"/>
      <c r="C2083" s="543"/>
      <c r="D2083" s="544"/>
      <c r="E2083" s="544"/>
      <c r="F2083" s="544"/>
      <c r="G2083" s="544"/>
      <c r="H2083" s="544"/>
      <c r="I2083" s="543"/>
      <c r="J2083" s="543"/>
      <c r="K2083" s="544"/>
      <c r="L2083" s="543"/>
      <c r="M2083" s="544"/>
      <c r="N2083" s="543"/>
      <c r="O2083" s="544"/>
      <c r="P2083" s="544"/>
      <c r="Q2083" s="544"/>
      <c r="R2083" s="544"/>
      <c r="S2083" s="544"/>
    </row>
    <row r="2084" ht="14.25" customHeight="1">
      <c r="A2084" s="542"/>
      <c r="B2084" s="543"/>
      <c r="C2084" s="543"/>
      <c r="D2084" s="544"/>
      <c r="E2084" s="544"/>
      <c r="F2084" s="544"/>
      <c r="G2084" s="544"/>
      <c r="H2084" s="544"/>
      <c r="I2084" s="543"/>
      <c r="J2084" s="543"/>
      <c r="K2084" s="544"/>
      <c r="L2084" s="543"/>
      <c r="M2084" s="544"/>
      <c r="N2084" s="543"/>
      <c r="O2084" s="544"/>
      <c r="P2084" s="544"/>
      <c r="Q2084" s="544"/>
      <c r="R2084" s="544"/>
      <c r="S2084" s="544"/>
    </row>
    <row r="2085" ht="14.25" customHeight="1">
      <c r="A2085" s="542"/>
      <c r="B2085" s="543"/>
      <c r="C2085" s="543"/>
      <c r="D2085" s="544"/>
      <c r="E2085" s="544"/>
      <c r="F2085" s="544"/>
      <c r="G2085" s="544"/>
      <c r="H2085" s="544"/>
      <c r="I2085" s="543"/>
      <c r="J2085" s="543"/>
      <c r="K2085" s="544"/>
      <c r="L2085" s="543"/>
      <c r="M2085" s="544"/>
      <c r="N2085" s="543"/>
      <c r="O2085" s="544"/>
      <c r="P2085" s="544"/>
      <c r="Q2085" s="544"/>
      <c r="R2085" s="544"/>
      <c r="S2085" s="544"/>
    </row>
    <row r="2086" ht="14.25" customHeight="1">
      <c r="A2086" s="542"/>
      <c r="B2086" s="543"/>
      <c r="C2086" s="543"/>
      <c r="D2086" s="544"/>
      <c r="E2086" s="544"/>
      <c r="F2086" s="544"/>
      <c r="G2086" s="544"/>
      <c r="H2086" s="544"/>
      <c r="I2086" s="543"/>
      <c r="J2086" s="543"/>
      <c r="K2086" s="544"/>
      <c r="L2086" s="543"/>
      <c r="M2086" s="544"/>
      <c r="N2086" s="543"/>
      <c r="O2086" s="544"/>
      <c r="P2086" s="544"/>
      <c r="Q2086" s="544"/>
      <c r="R2086" s="544"/>
      <c r="S2086" s="544"/>
    </row>
    <row r="2087" ht="14.25" customHeight="1">
      <c r="A2087" s="542"/>
      <c r="B2087" s="543"/>
      <c r="C2087" s="543"/>
      <c r="D2087" s="544"/>
      <c r="E2087" s="544"/>
      <c r="F2087" s="544"/>
      <c r="G2087" s="544"/>
      <c r="H2087" s="544"/>
      <c r="I2087" s="543"/>
      <c r="J2087" s="543"/>
      <c r="K2087" s="544"/>
      <c r="L2087" s="543"/>
      <c r="M2087" s="544"/>
      <c r="N2087" s="543"/>
      <c r="O2087" s="544"/>
      <c r="P2087" s="544"/>
      <c r="Q2087" s="544"/>
      <c r="R2087" s="544"/>
      <c r="S2087" s="544"/>
    </row>
    <row r="2088" ht="14.25" customHeight="1">
      <c r="A2088" s="542"/>
      <c r="B2088" s="543"/>
      <c r="C2088" s="543"/>
      <c r="D2088" s="544"/>
      <c r="E2088" s="544"/>
      <c r="F2088" s="544"/>
      <c r="G2088" s="544"/>
      <c r="H2088" s="544"/>
      <c r="I2088" s="543"/>
      <c r="J2088" s="543"/>
      <c r="K2088" s="544"/>
      <c r="L2088" s="543"/>
      <c r="M2088" s="544"/>
      <c r="N2088" s="543"/>
      <c r="O2088" s="544"/>
      <c r="P2088" s="544"/>
      <c r="Q2088" s="544"/>
      <c r="R2088" s="544"/>
      <c r="S2088" s="544"/>
    </row>
    <row r="2089" ht="14.25" customHeight="1">
      <c r="A2089" s="542"/>
      <c r="B2089" s="543"/>
      <c r="C2089" s="543"/>
      <c r="D2089" s="544"/>
      <c r="E2089" s="544"/>
      <c r="F2089" s="544"/>
      <c r="G2089" s="544"/>
      <c r="H2089" s="544"/>
      <c r="I2089" s="543"/>
      <c r="J2089" s="543"/>
      <c r="K2089" s="544"/>
      <c r="L2089" s="543"/>
      <c r="M2089" s="544"/>
      <c r="N2089" s="543"/>
      <c r="O2089" s="544"/>
      <c r="P2089" s="544"/>
      <c r="Q2089" s="544"/>
      <c r="R2089" s="544"/>
      <c r="S2089" s="544"/>
    </row>
    <row r="2090" ht="14.25" customHeight="1">
      <c r="A2090" s="542"/>
      <c r="B2090" s="543"/>
      <c r="C2090" s="543"/>
      <c r="D2090" s="544"/>
      <c r="E2090" s="544"/>
      <c r="F2090" s="544"/>
      <c r="G2090" s="544"/>
      <c r="H2090" s="544"/>
      <c r="I2090" s="543"/>
      <c r="J2090" s="543"/>
      <c r="K2090" s="544"/>
      <c r="L2090" s="543"/>
      <c r="M2090" s="544"/>
      <c r="N2090" s="543"/>
      <c r="O2090" s="544"/>
      <c r="P2090" s="544"/>
      <c r="Q2090" s="544"/>
      <c r="R2090" s="544"/>
      <c r="S2090" s="544"/>
    </row>
    <row r="2091" ht="14.25" customHeight="1">
      <c r="A2091" s="542"/>
      <c r="B2091" s="543"/>
      <c r="C2091" s="543"/>
      <c r="D2091" s="544"/>
      <c r="E2091" s="544"/>
      <c r="F2091" s="544"/>
      <c r="G2091" s="544"/>
      <c r="H2091" s="544"/>
      <c r="I2091" s="543"/>
      <c r="J2091" s="543"/>
      <c r="K2091" s="544"/>
      <c r="L2091" s="543"/>
      <c r="M2091" s="544"/>
      <c r="N2091" s="543"/>
      <c r="O2091" s="544"/>
      <c r="P2091" s="544"/>
      <c r="Q2091" s="544"/>
      <c r="R2091" s="544"/>
      <c r="S2091" s="544"/>
    </row>
    <row r="2092" ht="14.25" customHeight="1">
      <c r="A2092" s="542"/>
      <c r="B2092" s="543"/>
      <c r="C2092" s="543"/>
      <c r="D2092" s="544"/>
      <c r="E2092" s="544"/>
      <c r="F2092" s="544"/>
      <c r="G2092" s="544"/>
      <c r="H2092" s="544"/>
      <c r="I2092" s="543"/>
      <c r="J2092" s="543"/>
      <c r="K2092" s="544"/>
      <c r="L2092" s="543"/>
      <c r="M2092" s="544"/>
      <c r="N2092" s="543"/>
      <c r="O2092" s="544"/>
      <c r="P2092" s="544"/>
      <c r="Q2092" s="544"/>
      <c r="R2092" s="544"/>
      <c r="S2092" s="544"/>
    </row>
    <row r="2093" ht="14.25" customHeight="1">
      <c r="A2093" s="542"/>
      <c r="B2093" s="543"/>
      <c r="C2093" s="543"/>
      <c r="D2093" s="544"/>
      <c r="E2093" s="544"/>
      <c r="F2093" s="544"/>
      <c r="G2093" s="544"/>
      <c r="H2093" s="544"/>
      <c r="I2093" s="543"/>
      <c r="J2093" s="543"/>
      <c r="K2093" s="544"/>
      <c r="L2093" s="543"/>
      <c r="M2093" s="544"/>
      <c r="N2093" s="543"/>
      <c r="O2093" s="544"/>
      <c r="P2093" s="544"/>
      <c r="Q2093" s="544"/>
      <c r="R2093" s="544"/>
      <c r="S2093" s="544"/>
    </row>
    <row r="2094" ht="14.25" customHeight="1">
      <c r="A2094" s="542"/>
      <c r="B2094" s="543"/>
      <c r="C2094" s="543"/>
      <c r="D2094" s="544"/>
      <c r="E2094" s="544"/>
      <c r="F2094" s="544"/>
      <c r="G2094" s="544"/>
      <c r="H2094" s="544"/>
      <c r="I2094" s="543"/>
      <c r="J2094" s="543"/>
      <c r="K2094" s="544"/>
      <c r="L2094" s="543"/>
      <c r="M2094" s="544"/>
      <c r="N2094" s="543"/>
      <c r="O2094" s="544"/>
      <c r="P2094" s="544"/>
      <c r="Q2094" s="544"/>
      <c r="R2094" s="544"/>
      <c r="S2094" s="544"/>
    </row>
    <row r="2095" ht="14.25" customHeight="1">
      <c r="A2095" s="542"/>
      <c r="B2095" s="543"/>
      <c r="C2095" s="543"/>
      <c r="D2095" s="544"/>
      <c r="E2095" s="544"/>
      <c r="F2095" s="544"/>
      <c r="G2095" s="544"/>
      <c r="H2095" s="544"/>
      <c r="I2095" s="543"/>
      <c r="J2095" s="543"/>
      <c r="K2095" s="544"/>
      <c r="L2095" s="543"/>
      <c r="M2095" s="544"/>
      <c r="N2095" s="543"/>
      <c r="O2095" s="544"/>
      <c r="P2095" s="544"/>
      <c r="Q2095" s="544"/>
      <c r="R2095" s="544"/>
      <c r="S2095" s="544"/>
    </row>
    <row r="2096" ht="14.25" customHeight="1">
      <c r="A2096" s="542"/>
      <c r="B2096" s="543"/>
      <c r="C2096" s="543"/>
      <c r="D2096" s="544"/>
      <c r="E2096" s="544"/>
      <c r="F2096" s="544"/>
      <c r="G2096" s="544"/>
      <c r="H2096" s="544"/>
      <c r="I2096" s="543"/>
      <c r="J2096" s="543"/>
      <c r="K2096" s="544"/>
      <c r="L2096" s="543"/>
      <c r="M2096" s="544"/>
      <c r="N2096" s="543"/>
      <c r="O2096" s="544"/>
      <c r="P2096" s="544"/>
      <c r="Q2096" s="544"/>
      <c r="R2096" s="544"/>
      <c r="S2096" s="544"/>
    </row>
    <row r="2097" ht="14.25" customHeight="1">
      <c r="A2097" s="542"/>
      <c r="B2097" s="543"/>
      <c r="C2097" s="543"/>
      <c r="D2097" s="544"/>
      <c r="E2097" s="544"/>
      <c r="F2097" s="544"/>
      <c r="G2097" s="544"/>
      <c r="H2097" s="544"/>
      <c r="I2097" s="543"/>
      <c r="J2097" s="543"/>
      <c r="K2097" s="544"/>
      <c r="L2097" s="543"/>
      <c r="M2097" s="544"/>
      <c r="N2097" s="543"/>
      <c r="O2097" s="544"/>
      <c r="P2097" s="544"/>
      <c r="Q2097" s="544"/>
      <c r="R2097" s="544"/>
      <c r="S2097" s="544"/>
    </row>
    <row r="2098" ht="14.25" customHeight="1">
      <c r="A2098" s="542"/>
      <c r="B2098" s="543"/>
      <c r="C2098" s="543"/>
      <c r="D2098" s="544"/>
      <c r="E2098" s="544"/>
      <c r="F2098" s="544"/>
      <c r="G2098" s="544"/>
      <c r="H2098" s="544"/>
      <c r="I2098" s="543"/>
      <c r="J2098" s="543"/>
      <c r="K2098" s="544"/>
      <c r="L2098" s="543"/>
      <c r="M2098" s="544"/>
      <c r="N2098" s="543"/>
      <c r="O2098" s="544"/>
      <c r="P2098" s="544"/>
      <c r="Q2098" s="544"/>
      <c r="R2098" s="544"/>
      <c r="S2098" s="544"/>
    </row>
    <row r="2099" ht="14.25" customHeight="1">
      <c r="A2099" s="542"/>
      <c r="B2099" s="543"/>
      <c r="C2099" s="543"/>
      <c r="D2099" s="544"/>
      <c r="E2099" s="544"/>
      <c r="F2099" s="544"/>
      <c r="G2099" s="544"/>
      <c r="H2099" s="544"/>
      <c r="I2099" s="543"/>
      <c r="J2099" s="543"/>
      <c r="K2099" s="544"/>
      <c r="L2099" s="543"/>
      <c r="M2099" s="544"/>
      <c r="N2099" s="543"/>
      <c r="O2099" s="544"/>
      <c r="P2099" s="544"/>
      <c r="Q2099" s="544"/>
      <c r="R2099" s="544"/>
      <c r="S2099" s="544"/>
    </row>
    <row r="2100" ht="14.25" customHeight="1">
      <c r="A2100" s="542"/>
      <c r="B2100" s="543"/>
      <c r="C2100" s="543"/>
      <c r="D2100" s="544"/>
      <c r="E2100" s="544"/>
      <c r="F2100" s="544"/>
      <c r="G2100" s="544"/>
      <c r="H2100" s="544"/>
      <c r="I2100" s="543"/>
      <c r="J2100" s="543"/>
      <c r="K2100" s="544"/>
      <c r="L2100" s="543"/>
      <c r="M2100" s="544"/>
      <c r="N2100" s="543"/>
      <c r="O2100" s="544"/>
      <c r="P2100" s="544"/>
      <c r="Q2100" s="544"/>
      <c r="R2100" s="544"/>
      <c r="S2100" s="544"/>
    </row>
    <row r="2101" ht="14.25" customHeight="1">
      <c r="A2101" s="542"/>
      <c r="B2101" s="543"/>
      <c r="C2101" s="543"/>
      <c r="D2101" s="544"/>
      <c r="E2101" s="544"/>
      <c r="F2101" s="544"/>
      <c r="G2101" s="544"/>
      <c r="H2101" s="544"/>
      <c r="I2101" s="543"/>
      <c r="J2101" s="543"/>
      <c r="K2101" s="544"/>
      <c r="L2101" s="543"/>
      <c r="M2101" s="544"/>
      <c r="N2101" s="543"/>
      <c r="O2101" s="544"/>
      <c r="P2101" s="544"/>
      <c r="Q2101" s="544"/>
      <c r="R2101" s="544"/>
      <c r="S2101" s="544"/>
    </row>
    <row r="2102" ht="14.25" customHeight="1">
      <c r="A2102" s="542"/>
      <c r="B2102" s="543"/>
      <c r="C2102" s="543"/>
      <c r="D2102" s="544"/>
      <c r="E2102" s="544"/>
      <c r="F2102" s="544"/>
      <c r="G2102" s="544"/>
      <c r="H2102" s="544"/>
      <c r="I2102" s="543"/>
      <c r="J2102" s="543"/>
      <c r="K2102" s="544"/>
      <c r="L2102" s="543"/>
      <c r="M2102" s="544"/>
      <c r="N2102" s="543"/>
      <c r="O2102" s="544"/>
      <c r="P2102" s="544"/>
      <c r="Q2102" s="544"/>
      <c r="R2102" s="544"/>
      <c r="S2102" s="544"/>
    </row>
    <row r="2103" ht="14.25" customHeight="1">
      <c r="A2103" s="542"/>
      <c r="B2103" s="543"/>
      <c r="C2103" s="543"/>
      <c r="D2103" s="544"/>
      <c r="E2103" s="544"/>
      <c r="F2103" s="544"/>
      <c r="G2103" s="544"/>
      <c r="H2103" s="544"/>
      <c r="I2103" s="543"/>
      <c r="J2103" s="543"/>
      <c r="K2103" s="544"/>
      <c r="L2103" s="543"/>
      <c r="M2103" s="544"/>
      <c r="N2103" s="543"/>
      <c r="O2103" s="544"/>
      <c r="P2103" s="544"/>
      <c r="Q2103" s="544"/>
      <c r="R2103" s="544"/>
      <c r="S2103" s="544"/>
    </row>
    <row r="2104" ht="14.25" customHeight="1">
      <c r="A2104" s="542"/>
      <c r="B2104" s="543"/>
      <c r="C2104" s="543"/>
      <c r="D2104" s="544"/>
      <c r="E2104" s="544"/>
      <c r="F2104" s="544"/>
      <c r="G2104" s="544"/>
      <c r="H2104" s="544"/>
      <c r="I2104" s="543"/>
      <c r="J2104" s="543"/>
      <c r="K2104" s="544"/>
      <c r="L2104" s="543"/>
      <c r="M2104" s="544"/>
      <c r="N2104" s="543"/>
      <c r="O2104" s="544"/>
      <c r="P2104" s="544"/>
      <c r="Q2104" s="544"/>
      <c r="R2104" s="544"/>
      <c r="S2104" s="544"/>
    </row>
    <row r="2105" ht="14.25" customHeight="1">
      <c r="A2105" s="542"/>
      <c r="B2105" s="543"/>
      <c r="C2105" s="543"/>
      <c r="D2105" s="544"/>
      <c r="E2105" s="544"/>
      <c r="F2105" s="544"/>
      <c r="G2105" s="544"/>
      <c r="H2105" s="544"/>
      <c r="I2105" s="543"/>
      <c r="J2105" s="543"/>
      <c r="K2105" s="544"/>
      <c r="L2105" s="543"/>
      <c r="M2105" s="544"/>
      <c r="N2105" s="543"/>
      <c r="O2105" s="544"/>
      <c r="P2105" s="544"/>
      <c r="Q2105" s="544"/>
      <c r="R2105" s="544"/>
      <c r="S2105" s="544"/>
    </row>
    <row r="2106" ht="14.25" customHeight="1">
      <c r="A2106" s="542"/>
      <c r="B2106" s="543"/>
      <c r="C2106" s="543"/>
      <c r="D2106" s="544"/>
      <c r="E2106" s="544"/>
      <c r="F2106" s="544"/>
      <c r="G2106" s="544"/>
      <c r="H2106" s="544"/>
      <c r="I2106" s="543"/>
      <c r="J2106" s="543"/>
      <c r="K2106" s="544"/>
      <c r="L2106" s="543"/>
      <c r="M2106" s="544"/>
      <c r="N2106" s="543"/>
      <c r="O2106" s="544"/>
      <c r="P2106" s="544"/>
      <c r="Q2106" s="544"/>
      <c r="R2106" s="544"/>
      <c r="S2106" s="544"/>
    </row>
    <row r="2107" ht="14.25" customHeight="1">
      <c r="A2107" s="542"/>
      <c r="B2107" s="543"/>
      <c r="C2107" s="543"/>
      <c r="D2107" s="544"/>
      <c r="E2107" s="544"/>
      <c r="F2107" s="544"/>
      <c r="G2107" s="544"/>
      <c r="H2107" s="544"/>
      <c r="I2107" s="543"/>
      <c r="J2107" s="543"/>
      <c r="K2107" s="544"/>
      <c r="L2107" s="543"/>
      <c r="M2107" s="544"/>
      <c r="N2107" s="543"/>
      <c r="O2107" s="544"/>
      <c r="P2107" s="544"/>
      <c r="Q2107" s="544"/>
      <c r="R2107" s="544"/>
      <c r="S2107" s="544"/>
    </row>
    <row r="2108" ht="14.25" customHeight="1">
      <c r="A2108" s="542"/>
      <c r="B2108" s="543"/>
      <c r="C2108" s="543"/>
      <c r="D2108" s="544"/>
      <c r="E2108" s="544"/>
      <c r="F2108" s="544"/>
      <c r="G2108" s="544"/>
      <c r="H2108" s="544"/>
      <c r="I2108" s="543"/>
      <c r="J2108" s="543"/>
      <c r="K2108" s="544"/>
      <c r="L2108" s="543"/>
      <c r="M2108" s="544"/>
      <c r="N2108" s="543"/>
      <c r="O2108" s="544"/>
      <c r="P2108" s="544"/>
      <c r="Q2108" s="544"/>
      <c r="R2108" s="544"/>
      <c r="S2108" s="544"/>
    </row>
    <row r="2109" ht="14.25" customHeight="1">
      <c r="A2109" s="542"/>
      <c r="B2109" s="543"/>
      <c r="C2109" s="543"/>
      <c r="D2109" s="544"/>
      <c r="E2109" s="544"/>
      <c r="F2109" s="544"/>
      <c r="G2109" s="544"/>
      <c r="H2109" s="544"/>
      <c r="I2109" s="543"/>
      <c r="J2109" s="543"/>
      <c r="K2109" s="544"/>
      <c r="L2109" s="543"/>
      <c r="M2109" s="544"/>
      <c r="N2109" s="543"/>
      <c r="O2109" s="544"/>
      <c r="P2109" s="544"/>
      <c r="Q2109" s="544"/>
      <c r="R2109" s="544"/>
      <c r="S2109" s="544"/>
    </row>
    <row r="2110" ht="14.25" customHeight="1">
      <c r="A2110" s="542"/>
      <c r="B2110" s="543"/>
      <c r="C2110" s="543"/>
      <c r="D2110" s="544"/>
      <c r="E2110" s="544"/>
      <c r="F2110" s="544"/>
      <c r="G2110" s="544"/>
      <c r="H2110" s="544"/>
      <c r="I2110" s="543"/>
      <c r="J2110" s="543"/>
      <c r="K2110" s="544"/>
      <c r="L2110" s="543"/>
      <c r="M2110" s="544"/>
      <c r="N2110" s="543"/>
      <c r="O2110" s="544"/>
      <c r="P2110" s="544"/>
      <c r="Q2110" s="544"/>
      <c r="R2110" s="544"/>
      <c r="S2110" s="544"/>
    </row>
    <row r="2111" ht="14.25" customHeight="1">
      <c r="A2111" s="542"/>
      <c r="B2111" s="543"/>
      <c r="C2111" s="543"/>
      <c r="D2111" s="544"/>
      <c r="E2111" s="544"/>
      <c r="F2111" s="544"/>
      <c r="G2111" s="544"/>
      <c r="H2111" s="544"/>
      <c r="I2111" s="543"/>
      <c r="J2111" s="543"/>
      <c r="K2111" s="544"/>
      <c r="L2111" s="543"/>
      <c r="M2111" s="544"/>
      <c r="N2111" s="543"/>
      <c r="O2111" s="544"/>
      <c r="P2111" s="544"/>
      <c r="Q2111" s="544"/>
      <c r="R2111" s="544"/>
      <c r="S2111" s="544"/>
    </row>
    <row r="2112" ht="14.25" customHeight="1">
      <c r="A2112" s="542"/>
      <c r="B2112" s="543"/>
      <c r="C2112" s="543"/>
      <c r="D2112" s="544"/>
      <c r="E2112" s="544"/>
      <c r="F2112" s="544"/>
      <c r="G2112" s="544"/>
      <c r="H2112" s="544"/>
      <c r="I2112" s="543"/>
      <c r="J2112" s="543"/>
      <c r="K2112" s="544"/>
      <c r="L2112" s="543"/>
      <c r="M2112" s="544"/>
      <c r="N2112" s="543"/>
      <c r="O2112" s="544"/>
      <c r="P2112" s="544"/>
      <c r="Q2112" s="544"/>
      <c r="R2112" s="544"/>
      <c r="S2112" s="544"/>
    </row>
    <row r="2113" ht="14.25" customHeight="1">
      <c r="A2113" s="542"/>
      <c r="B2113" s="543"/>
      <c r="C2113" s="543"/>
      <c r="D2113" s="544"/>
      <c r="E2113" s="544"/>
      <c r="F2113" s="544"/>
      <c r="G2113" s="544"/>
      <c r="H2113" s="544"/>
      <c r="I2113" s="543"/>
      <c r="J2113" s="543"/>
      <c r="K2113" s="544"/>
      <c r="L2113" s="543"/>
      <c r="M2113" s="544"/>
      <c r="N2113" s="543"/>
      <c r="O2113" s="544"/>
      <c r="P2113" s="544"/>
      <c r="Q2113" s="544"/>
      <c r="R2113" s="544"/>
      <c r="S2113" s="544"/>
    </row>
    <row r="2114" ht="14.25" customHeight="1">
      <c r="A2114" s="542"/>
      <c r="B2114" s="543"/>
      <c r="C2114" s="543"/>
      <c r="D2114" s="544"/>
      <c r="E2114" s="544"/>
      <c r="F2114" s="544"/>
      <c r="G2114" s="544"/>
      <c r="H2114" s="544"/>
      <c r="I2114" s="543"/>
      <c r="J2114" s="543"/>
      <c r="K2114" s="544"/>
      <c r="L2114" s="543"/>
      <c r="M2114" s="544"/>
      <c r="N2114" s="543"/>
      <c r="O2114" s="544"/>
      <c r="P2114" s="544"/>
      <c r="Q2114" s="544"/>
      <c r="R2114" s="544"/>
      <c r="S2114" s="544"/>
    </row>
    <row r="2115" ht="14.25" customHeight="1">
      <c r="A2115" s="542"/>
      <c r="B2115" s="543"/>
      <c r="C2115" s="543"/>
      <c r="D2115" s="544"/>
      <c r="E2115" s="544"/>
      <c r="F2115" s="544"/>
      <c r="G2115" s="544"/>
      <c r="H2115" s="544"/>
      <c r="I2115" s="543"/>
      <c r="J2115" s="543"/>
      <c r="K2115" s="544"/>
      <c r="L2115" s="543"/>
      <c r="M2115" s="544"/>
      <c r="N2115" s="543"/>
      <c r="O2115" s="544"/>
      <c r="P2115" s="544"/>
      <c r="Q2115" s="544"/>
      <c r="R2115" s="544"/>
      <c r="S2115" s="544"/>
    </row>
    <row r="2116" ht="14.25" customHeight="1">
      <c r="A2116" s="542"/>
      <c r="B2116" s="543"/>
      <c r="C2116" s="543"/>
      <c r="D2116" s="544"/>
      <c r="E2116" s="544"/>
      <c r="F2116" s="544"/>
      <c r="G2116" s="544"/>
      <c r="H2116" s="544"/>
      <c r="I2116" s="543"/>
      <c r="J2116" s="543"/>
      <c r="K2116" s="544"/>
      <c r="L2116" s="543"/>
      <c r="M2116" s="544"/>
      <c r="N2116" s="543"/>
      <c r="O2116" s="544"/>
      <c r="P2116" s="544"/>
      <c r="Q2116" s="544"/>
      <c r="R2116" s="544"/>
      <c r="S2116" s="544"/>
    </row>
    <row r="2117" ht="14.25" customHeight="1">
      <c r="A2117" s="542"/>
      <c r="B2117" s="543"/>
      <c r="C2117" s="543"/>
      <c r="D2117" s="544"/>
      <c r="E2117" s="544"/>
      <c r="F2117" s="544"/>
      <c r="G2117" s="544"/>
      <c r="H2117" s="544"/>
      <c r="I2117" s="543"/>
      <c r="J2117" s="543"/>
      <c r="K2117" s="544"/>
      <c r="L2117" s="543"/>
      <c r="M2117" s="544"/>
      <c r="N2117" s="543"/>
      <c r="O2117" s="544"/>
      <c r="P2117" s="544"/>
      <c r="Q2117" s="544"/>
      <c r="R2117" s="544"/>
      <c r="S2117" s="544"/>
    </row>
    <row r="2118" ht="14.25" customHeight="1">
      <c r="A2118" s="542"/>
      <c r="B2118" s="543"/>
      <c r="C2118" s="543"/>
      <c r="D2118" s="544"/>
      <c r="E2118" s="544"/>
      <c r="F2118" s="544"/>
      <c r="G2118" s="544"/>
      <c r="H2118" s="544"/>
      <c r="I2118" s="543"/>
      <c r="J2118" s="543"/>
      <c r="K2118" s="544"/>
      <c r="L2118" s="543"/>
      <c r="M2118" s="544"/>
      <c r="N2118" s="543"/>
      <c r="O2118" s="544"/>
      <c r="P2118" s="544"/>
      <c r="Q2118" s="544"/>
      <c r="R2118" s="544"/>
      <c r="S2118" s="544"/>
    </row>
    <row r="2119" ht="14.25" customHeight="1">
      <c r="A2119" s="542"/>
      <c r="B2119" s="543"/>
      <c r="C2119" s="543"/>
      <c r="D2119" s="544"/>
      <c r="E2119" s="544"/>
      <c r="F2119" s="544"/>
      <c r="G2119" s="544"/>
      <c r="H2119" s="544"/>
      <c r="I2119" s="543"/>
      <c r="J2119" s="543"/>
      <c r="K2119" s="544"/>
      <c r="L2119" s="543"/>
      <c r="M2119" s="544"/>
      <c r="N2119" s="543"/>
      <c r="O2119" s="544"/>
      <c r="P2119" s="544"/>
      <c r="Q2119" s="544"/>
      <c r="R2119" s="544"/>
      <c r="S2119" s="544"/>
    </row>
    <row r="2120" ht="14.25" customHeight="1">
      <c r="A2120" s="542"/>
      <c r="B2120" s="543"/>
      <c r="C2120" s="543"/>
      <c r="D2120" s="544"/>
      <c r="E2120" s="544"/>
      <c r="F2120" s="544"/>
      <c r="G2120" s="544"/>
      <c r="H2120" s="544"/>
      <c r="I2120" s="543"/>
      <c r="J2120" s="543"/>
      <c r="K2120" s="544"/>
      <c r="L2120" s="543"/>
      <c r="M2120" s="544"/>
      <c r="N2120" s="543"/>
      <c r="O2120" s="544"/>
      <c r="P2120" s="544"/>
      <c r="Q2120" s="544"/>
      <c r="R2120" s="544"/>
      <c r="S2120" s="544"/>
    </row>
    <row r="2121" ht="14.25" customHeight="1">
      <c r="A2121" s="542"/>
      <c r="B2121" s="543"/>
      <c r="C2121" s="543"/>
      <c r="D2121" s="544"/>
      <c r="E2121" s="544"/>
      <c r="F2121" s="544"/>
      <c r="G2121" s="544"/>
      <c r="H2121" s="544"/>
      <c r="I2121" s="543"/>
      <c r="J2121" s="543"/>
      <c r="K2121" s="544"/>
      <c r="L2121" s="543"/>
      <c r="M2121" s="544"/>
      <c r="N2121" s="543"/>
      <c r="O2121" s="544"/>
      <c r="P2121" s="544"/>
      <c r="Q2121" s="544"/>
      <c r="R2121" s="544"/>
      <c r="S2121" s="544"/>
    </row>
    <row r="2122" ht="14.25" customHeight="1">
      <c r="A2122" s="542"/>
      <c r="B2122" s="543"/>
      <c r="C2122" s="543"/>
      <c r="D2122" s="544"/>
      <c r="E2122" s="544"/>
      <c r="F2122" s="544"/>
      <c r="G2122" s="544"/>
      <c r="H2122" s="544"/>
      <c r="I2122" s="543"/>
      <c r="J2122" s="543"/>
      <c r="K2122" s="544"/>
      <c r="L2122" s="543"/>
      <c r="M2122" s="544"/>
      <c r="N2122" s="543"/>
      <c r="O2122" s="544"/>
      <c r="P2122" s="544"/>
      <c r="Q2122" s="544"/>
      <c r="R2122" s="544"/>
      <c r="S2122" s="544"/>
    </row>
    <row r="2123" ht="14.25" customHeight="1">
      <c r="A2123" s="542"/>
      <c r="B2123" s="543"/>
      <c r="C2123" s="543"/>
      <c r="D2123" s="544"/>
      <c r="E2123" s="544"/>
      <c r="F2123" s="544"/>
      <c r="G2123" s="544"/>
      <c r="H2123" s="544"/>
      <c r="I2123" s="543"/>
      <c r="J2123" s="543"/>
      <c r="K2123" s="544"/>
      <c r="L2123" s="543"/>
      <c r="M2123" s="544"/>
      <c r="N2123" s="543"/>
      <c r="O2123" s="544"/>
      <c r="P2123" s="544"/>
      <c r="Q2123" s="544"/>
      <c r="R2123" s="544"/>
      <c r="S2123" s="544"/>
    </row>
    <row r="2124" ht="14.25" customHeight="1">
      <c r="A2124" s="542"/>
      <c r="B2124" s="543"/>
      <c r="C2124" s="543"/>
      <c r="D2124" s="544"/>
      <c r="E2124" s="544"/>
      <c r="F2124" s="544"/>
      <c r="G2124" s="544"/>
      <c r="H2124" s="544"/>
      <c r="I2124" s="543"/>
      <c r="J2124" s="543"/>
      <c r="K2124" s="544"/>
      <c r="L2124" s="543"/>
      <c r="M2124" s="544"/>
      <c r="N2124" s="543"/>
      <c r="O2124" s="544"/>
      <c r="P2124" s="544"/>
      <c r="Q2124" s="544"/>
      <c r="R2124" s="544"/>
      <c r="S2124" s="544"/>
    </row>
    <row r="2125" ht="14.25" customHeight="1">
      <c r="A2125" s="542"/>
      <c r="B2125" s="543"/>
      <c r="C2125" s="543"/>
      <c r="D2125" s="544"/>
      <c r="E2125" s="544"/>
      <c r="F2125" s="544"/>
      <c r="G2125" s="544"/>
      <c r="H2125" s="544"/>
      <c r="I2125" s="543"/>
      <c r="J2125" s="543"/>
      <c r="K2125" s="544"/>
      <c r="L2125" s="543"/>
      <c r="M2125" s="544"/>
      <c r="N2125" s="543"/>
      <c r="O2125" s="544"/>
      <c r="P2125" s="544"/>
      <c r="Q2125" s="544"/>
      <c r="R2125" s="544"/>
      <c r="S2125" s="544"/>
    </row>
    <row r="2126" ht="14.25" customHeight="1">
      <c r="A2126" s="542"/>
      <c r="B2126" s="543"/>
      <c r="C2126" s="543"/>
      <c r="D2126" s="544"/>
      <c r="E2126" s="544"/>
      <c r="F2126" s="544"/>
      <c r="G2126" s="544"/>
      <c r="H2126" s="544"/>
      <c r="I2126" s="543"/>
      <c r="J2126" s="543"/>
      <c r="K2126" s="544"/>
      <c r="L2126" s="543"/>
      <c r="M2126" s="544"/>
      <c r="N2126" s="543"/>
      <c r="O2126" s="544"/>
      <c r="P2126" s="544"/>
      <c r="Q2126" s="544"/>
      <c r="R2126" s="544"/>
      <c r="S2126" s="544"/>
    </row>
    <row r="2127" ht="14.25" customHeight="1">
      <c r="A2127" s="542"/>
      <c r="B2127" s="543"/>
      <c r="C2127" s="543"/>
      <c r="D2127" s="544"/>
      <c r="E2127" s="544"/>
      <c r="F2127" s="544"/>
      <c r="G2127" s="544"/>
      <c r="H2127" s="544"/>
      <c r="I2127" s="543"/>
      <c r="J2127" s="543"/>
      <c r="K2127" s="544"/>
      <c r="L2127" s="543"/>
      <c r="M2127" s="544"/>
      <c r="N2127" s="543"/>
      <c r="O2127" s="544"/>
      <c r="P2127" s="544"/>
      <c r="Q2127" s="544"/>
      <c r="R2127" s="544"/>
      <c r="S2127" s="544"/>
    </row>
    <row r="2128" ht="14.25" customHeight="1">
      <c r="A2128" s="542"/>
      <c r="B2128" s="543"/>
      <c r="C2128" s="543"/>
      <c r="D2128" s="544"/>
      <c r="E2128" s="544"/>
      <c r="F2128" s="544"/>
      <c r="G2128" s="544"/>
      <c r="H2128" s="544"/>
      <c r="I2128" s="543"/>
      <c r="J2128" s="543"/>
      <c r="K2128" s="544"/>
      <c r="L2128" s="543"/>
      <c r="M2128" s="544"/>
      <c r="N2128" s="543"/>
      <c r="O2128" s="544"/>
      <c r="P2128" s="544"/>
      <c r="Q2128" s="544"/>
      <c r="R2128" s="544"/>
      <c r="S2128" s="544"/>
    </row>
    <row r="2129" ht="14.25" customHeight="1">
      <c r="A2129" s="542"/>
      <c r="B2129" s="543"/>
      <c r="C2129" s="543"/>
      <c r="D2129" s="544"/>
      <c r="E2129" s="544"/>
      <c r="F2129" s="544"/>
      <c r="G2129" s="544"/>
      <c r="H2129" s="544"/>
      <c r="I2129" s="543"/>
      <c r="J2129" s="543"/>
      <c r="K2129" s="544"/>
      <c r="L2129" s="543"/>
      <c r="M2129" s="544"/>
      <c r="N2129" s="543"/>
      <c r="O2129" s="544"/>
      <c r="P2129" s="544"/>
      <c r="Q2129" s="544"/>
      <c r="R2129" s="544"/>
      <c r="S2129" s="544"/>
    </row>
    <row r="2130" ht="14.25" customHeight="1">
      <c r="A2130" s="542"/>
      <c r="B2130" s="543"/>
      <c r="C2130" s="543"/>
      <c r="D2130" s="544"/>
      <c r="E2130" s="544"/>
      <c r="F2130" s="544"/>
      <c r="G2130" s="544"/>
      <c r="H2130" s="544"/>
      <c r="I2130" s="543"/>
      <c r="J2130" s="543"/>
      <c r="K2130" s="544"/>
      <c r="L2130" s="543"/>
      <c r="M2130" s="544"/>
      <c r="N2130" s="543"/>
      <c r="O2130" s="544"/>
      <c r="P2130" s="544"/>
      <c r="Q2130" s="544"/>
      <c r="R2130" s="544"/>
      <c r="S2130" s="544"/>
    </row>
    <row r="2131" ht="14.25" customHeight="1">
      <c r="A2131" s="542"/>
      <c r="B2131" s="543"/>
      <c r="C2131" s="543"/>
      <c r="D2131" s="544"/>
      <c r="E2131" s="544"/>
      <c r="F2131" s="544"/>
      <c r="G2131" s="544"/>
      <c r="H2131" s="544"/>
      <c r="I2131" s="543"/>
      <c r="J2131" s="543"/>
      <c r="K2131" s="544"/>
      <c r="L2131" s="543"/>
      <c r="M2131" s="544"/>
      <c r="N2131" s="543"/>
      <c r="O2131" s="544"/>
      <c r="P2131" s="544"/>
      <c r="Q2131" s="544"/>
      <c r="R2131" s="544"/>
      <c r="S2131" s="544"/>
    </row>
    <row r="2132" ht="14.25" customHeight="1">
      <c r="A2132" s="542"/>
      <c r="B2132" s="543"/>
      <c r="C2132" s="543"/>
      <c r="D2132" s="544"/>
      <c r="E2132" s="544"/>
      <c r="F2132" s="544"/>
      <c r="G2132" s="544"/>
      <c r="H2132" s="544"/>
      <c r="I2132" s="543"/>
      <c r="J2132" s="543"/>
      <c r="K2132" s="544"/>
      <c r="L2132" s="543"/>
      <c r="M2132" s="544"/>
      <c r="N2132" s="543"/>
      <c r="O2132" s="544"/>
      <c r="P2132" s="544"/>
      <c r="Q2132" s="544"/>
      <c r="R2132" s="544"/>
      <c r="S2132" s="544"/>
    </row>
    <row r="2133" ht="14.25" customHeight="1">
      <c r="A2133" s="542"/>
      <c r="B2133" s="543"/>
      <c r="C2133" s="543"/>
      <c r="D2133" s="544"/>
      <c r="E2133" s="544"/>
      <c r="F2133" s="544"/>
      <c r="G2133" s="544"/>
      <c r="H2133" s="544"/>
      <c r="I2133" s="543"/>
      <c r="J2133" s="543"/>
      <c r="K2133" s="544"/>
      <c r="L2133" s="543"/>
      <c r="M2133" s="544"/>
      <c r="N2133" s="543"/>
      <c r="O2133" s="544"/>
      <c r="P2133" s="544"/>
      <c r="Q2133" s="544"/>
      <c r="R2133" s="544"/>
      <c r="S2133" s="544"/>
    </row>
    <row r="2134" ht="14.25" customHeight="1">
      <c r="A2134" s="542"/>
      <c r="B2134" s="543"/>
      <c r="C2134" s="543"/>
      <c r="D2134" s="544"/>
      <c r="E2134" s="544"/>
      <c r="F2134" s="544"/>
      <c r="G2134" s="544"/>
      <c r="H2134" s="544"/>
      <c r="I2134" s="543"/>
      <c r="J2134" s="543"/>
      <c r="K2134" s="544"/>
      <c r="L2134" s="543"/>
      <c r="M2134" s="544"/>
      <c r="N2134" s="543"/>
      <c r="O2134" s="544"/>
      <c r="P2134" s="544"/>
      <c r="Q2134" s="544"/>
      <c r="R2134" s="544"/>
      <c r="S2134" s="544"/>
    </row>
    <row r="2135" ht="14.25" customHeight="1">
      <c r="A2135" s="542"/>
      <c r="B2135" s="543"/>
      <c r="C2135" s="543"/>
      <c r="D2135" s="544"/>
      <c r="E2135" s="544"/>
      <c r="F2135" s="544"/>
      <c r="G2135" s="544"/>
      <c r="H2135" s="544"/>
      <c r="I2135" s="543"/>
      <c r="J2135" s="543"/>
      <c r="K2135" s="544"/>
      <c r="L2135" s="543"/>
      <c r="M2135" s="544"/>
      <c r="N2135" s="543"/>
      <c r="O2135" s="544"/>
      <c r="P2135" s="544"/>
      <c r="Q2135" s="544"/>
      <c r="R2135" s="544"/>
      <c r="S2135" s="544"/>
    </row>
    <row r="2136" ht="14.25" customHeight="1">
      <c r="A2136" s="542"/>
      <c r="B2136" s="543"/>
      <c r="C2136" s="543"/>
      <c r="D2136" s="544"/>
      <c r="E2136" s="544"/>
      <c r="F2136" s="544"/>
      <c r="G2136" s="544"/>
      <c r="H2136" s="544"/>
      <c r="I2136" s="543"/>
      <c r="J2136" s="543"/>
      <c r="K2136" s="544"/>
      <c r="L2136" s="543"/>
      <c r="M2136" s="544"/>
      <c r="N2136" s="543"/>
      <c r="O2136" s="544"/>
      <c r="P2136" s="544"/>
      <c r="Q2136" s="544"/>
      <c r="R2136" s="544"/>
      <c r="S2136" s="544"/>
    </row>
    <row r="2137" ht="14.25" customHeight="1">
      <c r="A2137" s="542"/>
      <c r="B2137" s="543"/>
      <c r="C2137" s="543"/>
      <c r="D2137" s="544"/>
      <c r="E2137" s="544"/>
      <c r="F2137" s="544"/>
      <c r="G2137" s="544"/>
      <c r="H2137" s="544"/>
      <c r="I2137" s="543"/>
      <c r="J2137" s="543"/>
      <c r="K2137" s="544"/>
      <c r="L2137" s="543"/>
      <c r="M2137" s="544"/>
      <c r="N2137" s="543"/>
      <c r="O2137" s="544"/>
      <c r="P2137" s="544"/>
      <c r="Q2137" s="544"/>
      <c r="R2137" s="544"/>
      <c r="S2137" s="544"/>
    </row>
    <row r="2138" ht="14.25" customHeight="1">
      <c r="A2138" s="542"/>
      <c r="B2138" s="543"/>
      <c r="C2138" s="543"/>
      <c r="D2138" s="544"/>
      <c r="E2138" s="544"/>
      <c r="F2138" s="544"/>
      <c r="G2138" s="544"/>
      <c r="H2138" s="544"/>
      <c r="I2138" s="543"/>
      <c r="J2138" s="543"/>
      <c r="K2138" s="544"/>
      <c r="L2138" s="543"/>
      <c r="M2138" s="544"/>
      <c r="N2138" s="543"/>
      <c r="O2138" s="544"/>
      <c r="P2138" s="544"/>
      <c r="Q2138" s="544"/>
      <c r="R2138" s="544"/>
      <c r="S2138" s="544"/>
    </row>
    <row r="2139" ht="14.25" customHeight="1">
      <c r="A2139" s="542"/>
      <c r="B2139" s="543"/>
      <c r="C2139" s="543"/>
      <c r="D2139" s="544"/>
      <c r="E2139" s="544"/>
      <c r="F2139" s="544"/>
      <c r="G2139" s="544"/>
      <c r="H2139" s="544"/>
      <c r="I2139" s="543"/>
      <c r="J2139" s="543"/>
      <c r="K2139" s="544"/>
      <c r="L2139" s="543"/>
      <c r="M2139" s="544"/>
      <c r="N2139" s="543"/>
      <c r="O2139" s="544"/>
      <c r="P2139" s="544"/>
      <c r="Q2139" s="544"/>
      <c r="R2139" s="544"/>
      <c r="S2139" s="544"/>
    </row>
    <row r="2140" ht="14.25" customHeight="1">
      <c r="A2140" s="542"/>
      <c r="B2140" s="543"/>
      <c r="C2140" s="543"/>
      <c r="D2140" s="544"/>
      <c r="E2140" s="544"/>
      <c r="F2140" s="544"/>
      <c r="G2140" s="544"/>
      <c r="H2140" s="544"/>
      <c r="I2140" s="543"/>
      <c r="J2140" s="543"/>
      <c r="K2140" s="544"/>
      <c r="L2140" s="543"/>
      <c r="M2140" s="544"/>
      <c r="N2140" s="543"/>
      <c r="O2140" s="544"/>
      <c r="P2140" s="544"/>
      <c r="Q2140" s="544"/>
      <c r="R2140" s="544"/>
      <c r="S2140" s="544"/>
    </row>
    <row r="2141" ht="14.25" customHeight="1">
      <c r="A2141" s="542"/>
      <c r="B2141" s="543"/>
      <c r="C2141" s="543"/>
      <c r="D2141" s="544"/>
      <c r="E2141" s="544"/>
      <c r="F2141" s="544"/>
      <c r="G2141" s="544"/>
      <c r="H2141" s="544"/>
      <c r="I2141" s="543"/>
      <c r="J2141" s="543"/>
      <c r="K2141" s="544"/>
      <c r="L2141" s="543"/>
      <c r="M2141" s="544"/>
      <c r="N2141" s="543"/>
      <c r="O2141" s="544"/>
      <c r="P2141" s="544"/>
      <c r="Q2141" s="544"/>
      <c r="R2141" s="544"/>
      <c r="S2141" s="544"/>
    </row>
    <row r="2142" ht="14.25" customHeight="1">
      <c r="A2142" s="542"/>
      <c r="B2142" s="543"/>
      <c r="C2142" s="543"/>
      <c r="D2142" s="544"/>
      <c r="E2142" s="544"/>
      <c r="F2142" s="544"/>
      <c r="G2142" s="544"/>
      <c r="H2142" s="544"/>
      <c r="I2142" s="543"/>
      <c r="J2142" s="543"/>
      <c r="K2142" s="544"/>
      <c r="L2142" s="543"/>
      <c r="M2142" s="544"/>
      <c r="N2142" s="543"/>
      <c r="O2142" s="544"/>
      <c r="P2142" s="544"/>
      <c r="Q2142" s="544"/>
      <c r="R2142" s="544"/>
      <c r="S2142" s="544"/>
    </row>
    <row r="2143" ht="14.25" customHeight="1">
      <c r="A2143" s="542"/>
      <c r="B2143" s="543"/>
      <c r="C2143" s="543"/>
      <c r="D2143" s="544"/>
      <c r="E2143" s="544"/>
      <c r="F2143" s="544"/>
      <c r="G2143" s="544"/>
      <c r="H2143" s="544"/>
      <c r="I2143" s="543"/>
      <c r="J2143" s="543"/>
      <c r="K2143" s="544"/>
      <c r="L2143" s="543"/>
      <c r="M2143" s="544"/>
      <c r="N2143" s="543"/>
      <c r="O2143" s="544"/>
      <c r="P2143" s="544"/>
      <c r="Q2143" s="544"/>
      <c r="R2143" s="544"/>
      <c r="S2143" s="544"/>
    </row>
    <row r="2144" ht="14.25" customHeight="1">
      <c r="A2144" s="542"/>
      <c r="B2144" s="543"/>
      <c r="C2144" s="543"/>
      <c r="D2144" s="544"/>
      <c r="E2144" s="544"/>
      <c r="F2144" s="544"/>
      <c r="G2144" s="544"/>
      <c r="H2144" s="544"/>
      <c r="I2144" s="543"/>
      <c r="J2144" s="543"/>
      <c r="K2144" s="544"/>
      <c r="L2144" s="543"/>
      <c r="M2144" s="544"/>
      <c r="N2144" s="543"/>
      <c r="O2144" s="544"/>
      <c r="P2144" s="544"/>
      <c r="Q2144" s="544"/>
      <c r="R2144" s="544"/>
      <c r="S2144" s="544"/>
    </row>
    <row r="2145" ht="14.25" customHeight="1">
      <c r="A2145" s="542"/>
      <c r="B2145" s="543"/>
      <c r="C2145" s="543"/>
      <c r="D2145" s="544"/>
      <c r="E2145" s="544"/>
      <c r="F2145" s="544"/>
      <c r="G2145" s="544"/>
      <c r="H2145" s="544"/>
      <c r="I2145" s="543"/>
      <c r="J2145" s="543"/>
      <c r="K2145" s="544"/>
      <c r="L2145" s="543"/>
      <c r="M2145" s="544"/>
      <c r="N2145" s="543"/>
      <c r="O2145" s="544"/>
      <c r="P2145" s="544"/>
      <c r="Q2145" s="544"/>
      <c r="R2145" s="544"/>
      <c r="S2145" s="544"/>
    </row>
    <row r="2146" ht="14.25" customHeight="1">
      <c r="A2146" s="542"/>
      <c r="B2146" s="543"/>
      <c r="C2146" s="543"/>
      <c r="D2146" s="544"/>
      <c r="E2146" s="544"/>
      <c r="F2146" s="544"/>
      <c r="G2146" s="544"/>
      <c r="H2146" s="544"/>
      <c r="I2146" s="543"/>
      <c r="J2146" s="543"/>
      <c r="K2146" s="544"/>
      <c r="L2146" s="543"/>
      <c r="M2146" s="544"/>
      <c r="N2146" s="543"/>
      <c r="O2146" s="544"/>
      <c r="P2146" s="544"/>
      <c r="Q2146" s="544"/>
      <c r="R2146" s="544"/>
      <c r="S2146" s="544"/>
    </row>
    <row r="2147" ht="14.25" customHeight="1">
      <c r="A2147" s="542"/>
      <c r="B2147" s="543"/>
      <c r="C2147" s="543"/>
      <c r="D2147" s="544"/>
      <c r="E2147" s="544"/>
      <c r="F2147" s="544"/>
      <c r="G2147" s="544"/>
      <c r="H2147" s="544"/>
      <c r="I2147" s="543"/>
      <c r="J2147" s="543"/>
      <c r="K2147" s="544"/>
      <c r="L2147" s="543"/>
      <c r="M2147" s="544"/>
      <c r="N2147" s="543"/>
      <c r="O2147" s="544"/>
      <c r="P2147" s="544"/>
      <c r="Q2147" s="544"/>
      <c r="R2147" s="544"/>
      <c r="S2147" s="544"/>
    </row>
    <row r="2148" ht="14.25" customHeight="1">
      <c r="A2148" s="542"/>
      <c r="B2148" s="543"/>
      <c r="C2148" s="543"/>
      <c r="D2148" s="544"/>
      <c r="E2148" s="544"/>
      <c r="F2148" s="544"/>
      <c r="G2148" s="544"/>
      <c r="H2148" s="544"/>
      <c r="I2148" s="543"/>
      <c r="J2148" s="543"/>
      <c r="K2148" s="544"/>
      <c r="L2148" s="543"/>
      <c r="M2148" s="544"/>
      <c r="N2148" s="543"/>
      <c r="O2148" s="544"/>
      <c r="P2148" s="544"/>
      <c r="Q2148" s="544"/>
      <c r="R2148" s="544"/>
      <c r="S2148" s="544"/>
    </row>
    <row r="2149" ht="14.25" customHeight="1">
      <c r="A2149" s="542"/>
      <c r="B2149" s="543"/>
      <c r="C2149" s="543"/>
      <c r="D2149" s="544"/>
      <c r="E2149" s="544"/>
      <c r="F2149" s="544"/>
      <c r="G2149" s="544"/>
      <c r="H2149" s="544"/>
      <c r="I2149" s="543"/>
      <c r="J2149" s="543"/>
      <c r="K2149" s="544"/>
      <c r="L2149" s="543"/>
      <c r="M2149" s="544"/>
      <c r="N2149" s="543"/>
      <c r="O2149" s="544"/>
      <c r="P2149" s="544"/>
      <c r="Q2149" s="544"/>
      <c r="R2149" s="544"/>
      <c r="S2149" s="544"/>
    </row>
    <row r="2150" ht="14.25" customHeight="1">
      <c r="A2150" s="542"/>
      <c r="B2150" s="543"/>
      <c r="C2150" s="543"/>
      <c r="D2150" s="544"/>
      <c r="E2150" s="544"/>
      <c r="F2150" s="544"/>
      <c r="G2150" s="544"/>
      <c r="H2150" s="544"/>
      <c r="I2150" s="543"/>
      <c r="J2150" s="543"/>
      <c r="K2150" s="544"/>
      <c r="L2150" s="543"/>
      <c r="M2150" s="544"/>
      <c r="N2150" s="543"/>
      <c r="O2150" s="544"/>
      <c r="P2150" s="544"/>
      <c r="Q2150" s="544"/>
      <c r="R2150" s="544"/>
      <c r="S2150" s="544"/>
    </row>
    <row r="2151" ht="14.25" customHeight="1">
      <c r="A2151" s="542"/>
      <c r="B2151" s="543"/>
      <c r="C2151" s="543"/>
      <c r="D2151" s="544"/>
      <c r="E2151" s="544"/>
      <c r="F2151" s="544"/>
      <c r="G2151" s="544"/>
      <c r="H2151" s="544"/>
      <c r="I2151" s="543"/>
      <c r="J2151" s="543"/>
      <c r="K2151" s="544"/>
      <c r="L2151" s="543"/>
      <c r="M2151" s="544"/>
      <c r="N2151" s="543"/>
      <c r="O2151" s="544"/>
      <c r="P2151" s="544"/>
      <c r="Q2151" s="544"/>
      <c r="R2151" s="544"/>
      <c r="S2151" s="544"/>
    </row>
    <row r="2152" ht="14.25" customHeight="1">
      <c r="A2152" s="542"/>
      <c r="B2152" s="543"/>
      <c r="C2152" s="543"/>
      <c r="D2152" s="544"/>
      <c r="E2152" s="544"/>
      <c r="F2152" s="544"/>
      <c r="G2152" s="544"/>
      <c r="H2152" s="544"/>
      <c r="I2152" s="543"/>
      <c r="J2152" s="543"/>
      <c r="K2152" s="544"/>
      <c r="L2152" s="543"/>
      <c r="M2152" s="544"/>
      <c r="N2152" s="543"/>
      <c r="O2152" s="544"/>
      <c r="P2152" s="544"/>
      <c r="Q2152" s="544"/>
      <c r="R2152" s="544"/>
      <c r="S2152" s="544"/>
    </row>
    <row r="2153" ht="14.25" customHeight="1">
      <c r="A2153" s="542"/>
      <c r="B2153" s="543"/>
      <c r="C2153" s="543"/>
      <c r="D2153" s="544"/>
      <c r="E2153" s="544"/>
      <c r="F2153" s="544"/>
      <c r="G2153" s="544"/>
      <c r="H2153" s="544"/>
      <c r="I2153" s="543"/>
      <c r="J2153" s="543"/>
      <c r="K2153" s="544"/>
      <c r="L2153" s="543"/>
      <c r="M2153" s="544"/>
      <c r="N2153" s="543"/>
      <c r="O2153" s="544"/>
      <c r="P2153" s="544"/>
      <c r="Q2153" s="544"/>
      <c r="R2153" s="544"/>
      <c r="S2153" s="544"/>
    </row>
    <row r="2154" ht="14.25" customHeight="1">
      <c r="A2154" s="542"/>
      <c r="B2154" s="543"/>
      <c r="C2154" s="543"/>
      <c r="D2154" s="544"/>
      <c r="E2154" s="544"/>
      <c r="F2154" s="544"/>
      <c r="G2154" s="544"/>
      <c r="H2154" s="544"/>
      <c r="I2154" s="543"/>
      <c r="J2154" s="543"/>
      <c r="K2154" s="544"/>
      <c r="L2154" s="543"/>
      <c r="M2154" s="544"/>
      <c r="N2154" s="543"/>
      <c r="O2154" s="544"/>
      <c r="P2154" s="544"/>
      <c r="Q2154" s="544"/>
      <c r="R2154" s="544"/>
      <c r="S2154" s="544"/>
    </row>
    <row r="2155" ht="14.25" customHeight="1">
      <c r="A2155" s="542"/>
      <c r="B2155" s="543"/>
      <c r="C2155" s="543"/>
      <c r="D2155" s="544"/>
      <c r="E2155" s="544"/>
      <c r="F2155" s="544"/>
      <c r="G2155" s="544"/>
      <c r="H2155" s="544"/>
      <c r="I2155" s="543"/>
      <c r="J2155" s="543"/>
      <c r="K2155" s="544"/>
      <c r="L2155" s="543"/>
      <c r="M2155" s="544"/>
      <c r="N2155" s="543"/>
      <c r="O2155" s="544"/>
      <c r="P2155" s="544"/>
      <c r="Q2155" s="544"/>
      <c r="R2155" s="544"/>
      <c r="S2155" s="544"/>
    </row>
    <row r="2156" ht="14.25" customHeight="1">
      <c r="A2156" s="542"/>
      <c r="B2156" s="543"/>
      <c r="C2156" s="543"/>
      <c r="D2156" s="544"/>
      <c r="E2156" s="544"/>
      <c r="F2156" s="544"/>
      <c r="G2156" s="544"/>
      <c r="H2156" s="544"/>
      <c r="I2156" s="543"/>
      <c r="J2156" s="543"/>
      <c r="K2156" s="544"/>
      <c r="L2156" s="543"/>
      <c r="M2156" s="544"/>
      <c r="N2156" s="543"/>
      <c r="O2156" s="544"/>
      <c r="P2156" s="544"/>
      <c r="Q2156" s="544"/>
      <c r="R2156" s="544"/>
      <c r="S2156" s="544"/>
    </row>
    <row r="2157" ht="14.25" customHeight="1">
      <c r="A2157" s="542"/>
      <c r="B2157" s="543"/>
      <c r="C2157" s="543"/>
      <c r="D2157" s="544"/>
      <c r="E2157" s="544"/>
      <c r="F2157" s="544"/>
      <c r="G2157" s="544"/>
      <c r="H2157" s="544"/>
      <c r="I2157" s="543"/>
      <c r="J2157" s="543"/>
      <c r="K2157" s="544"/>
      <c r="L2157" s="543"/>
      <c r="M2157" s="544"/>
      <c r="N2157" s="543"/>
      <c r="O2157" s="544"/>
      <c r="P2157" s="544"/>
      <c r="Q2157" s="544"/>
      <c r="R2157" s="544"/>
      <c r="S2157" s="544"/>
    </row>
    <row r="2158" ht="14.25" customHeight="1">
      <c r="A2158" s="542"/>
      <c r="B2158" s="543"/>
      <c r="C2158" s="543"/>
      <c r="D2158" s="544"/>
      <c r="E2158" s="544"/>
      <c r="F2158" s="544"/>
      <c r="G2158" s="544"/>
      <c r="H2158" s="544"/>
      <c r="I2158" s="543"/>
      <c r="J2158" s="543"/>
      <c r="K2158" s="544"/>
      <c r="L2158" s="543"/>
      <c r="M2158" s="544"/>
      <c r="N2158" s="543"/>
      <c r="O2158" s="544"/>
      <c r="P2158" s="544"/>
      <c r="Q2158" s="544"/>
      <c r="R2158" s="544"/>
      <c r="S2158" s="544"/>
    </row>
    <row r="2159" ht="14.25" customHeight="1">
      <c r="A2159" s="542"/>
      <c r="B2159" s="543"/>
      <c r="C2159" s="543"/>
      <c r="D2159" s="544"/>
      <c r="E2159" s="544"/>
      <c r="F2159" s="544"/>
      <c r="G2159" s="544"/>
      <c r="H2159" s="544"/>
      <c r="I2159" s="543"/>
      <c r="J2159" s="543"/>
      <c r="K2159" s="544"/>
      <c r="L2159" s="543"/>
      <c r="M2159" s="544"/>
      <c r="N2159" s="543"/>
      <c r="O2159" s="544"/>
      <c r="P2159" s="544"/>
      <c r="Q2159" s="544"/>
      <c r="R2159" s="544"/>
      <c r="S2159" s="544"/>
    </row>
    <row r="2160" ht="14.25" customHeight="1">
      <c r="A2160" s="542"/>
      <c r="B2160" s="543"/>
      <c r="C2160" s="543"/>
      <c r="D2160" s="544"/>
      <c r="E2160" s="544"/>
      <c r="F2160" s="544"/>
      <c r="G2160" s="544"/>
      <c r="H2160" s="544"/>
      <c r="I2160" s="543"/>
      <c r="J2160" s="543"/>
      <c r="K2160" s="544"/>
      <c r="L2160" s="543"/>
      <c r="M2160" s="544"/>
      <c r="N2160" s="543"/>
      <c r="O2160" s="544"/>
      <c r="P2160" s="544"/>
      <c r="Q2160" s="544"/>
      <c r="R2160" s="544"/>
      <c r="S2160" s="544"/>
    </row>
    <row r="2161" ht="14.25" customHeight="1">
      <c r="A2161" s="542"/>
      <c r="B2161" s="543"/>
      <c r="C2161" s="543"/>
      <c r="D2161" s="544"/>
      <c r="E2161" s="544"/>
      <c r="F2161" s="544"/>
      <c r="G2161" s="544"/>
      <c r="H2161" s="544"/>
      <c r="I2161" s="543"/>
      <c r="J2161" s="543"/>
      <c r="K2161" s="544"/>
      <c r="L2161" s="543"/>
      <c r="M2161" s="544"/>
      <c r="N2161" s="543"/>
      <c r="O2161" s="544"/>
      <c r="P2161" s="544"/>
      <c r="Q2161" s="544"/>
      <c r="R2161" s="544"/>
      <c r="S2161" s="544"/>
    </row>
    <row r="2162" ht="14.25" customHeight="1">
      <c r="A2162" s="542"/>
      <c r="B2162" s="543"/>
      <c r="C2162" s="543"/>
      <c r="D2162" s="544"/>
      <c r="E2162" s="544"/>
      <c r="F2162" s="544"/>
      <c r="G2162" s="544"/>
      <c r="H2162" s="544"/>
      <c r="I2162" s="543"/>
      <c r="J2162" s="543"/>
      <c r="K2162" s="544"/>
      <c r="L2162" s="543"/>
      <c r="M2162" s="544"/>
      <c r="N2162" s="543"/>
      <c r="O2162" s="544"/>
      <c r="P2162" s="544"/>
      <c r="Q2162" s="544"/>
      <c r="R2162" s="544"/>
      <c r="S2162" s="544"/>
    </row>
    <row r="2163" ht="14.25" customHeight="1">
      <c r="A2163" s="542"/>
      <c r="B2163" s="543"/>
      <c r="C2163" s="543"/>
      <c r="D2163" s="544"/>
      <c r="E2163" s="544"/>
      <c r="F2163" s="544"/>
      <c r="G2163" s="544"/>
      <c r="H2163" s="544"/>
      <c r="I2163" s="543"/>
      <c r="J2163" s="543"/>
      <c r="K2163" s="544"/>
      <c r="L2163" s="543"/>
      <c r="M2163" s="544"/>
      <c r="N2163" s="543"/>
      <c r="O2163" s="544"/>
      <c r="P2163" s="544"/>
      <c r="Q2163" s="544"/>
      <c r="R2163" s="544"/>
      <c r="S2163" s="544"/>
    </row>
    <row r="2164" ht="14.25" customHeight="1">
      <c r="A2164" s="542"/>
      <c r="B2164" s="543"/>
      <c r="C2164" s="543"/>
      <c r="D2164" s="544"/>
      <c r="E2164" s="544"/>
      <c r="F2164" s="544"/>
      <c r="G2164" s="544"/>
      <c r="H2164" s="544"/>
      <c r="I2164" s="543"/>
      <c r="J2164" s="543"/>
      <c r="K2164" s="544"/>
      <c r="L2164" s="543"/>
      <c r="M2164" s="544"/>
      <c r="N2164" s="543"/>
      <c r="O2164" s="544"/>
      <c r="P2164" s="544"/>
      <c r="Q2164" s="544"/>
      <c r="R2164" s="544"/>
      <c r="S2164" s="544"/>
    </row>
    <row r="2165" ht="14.25" customHeight="1">
      <c r="A2165" s="542"/>
      <c r="B2165" s="543"/>
      <c r="C2165" s="543"/>
      <c r="D2165" s="544"/>
      <c r="E2165" s="544"/>
      <c r="F2165" s="544"/>
      <c r="G2165" s="544"/>
      <c r="H2165" s="544"/>
      <c r="I2165" s="543"/>
      <c r="J2165" s="543"/>
      <c r="K2165" s="544"/>
      <c r="L2165" s="543"/>
      <c r="M2165" s="544"/>
      <c r="N2165" s="543"/>
      <c r="O2165" s="544"/>
      <c r="P2165" s="544"/>
      <c r="Q2165" s="544"/>
      <c r="R2165" s="544"/>
      <c r="S2165" s="544"/>
    </row>
    <row r="2166" ht="14.25" customHeight="1">
      <c r="A2166" s="542"/>
      <c r="B2166" s="543"/>
      <c r="C2166" s="543"/>
      <c r="D2166" s="544"/>
      <c r="E2166" s="544"/>
      <c r="F2166" s="544"/>
      <c r="G2166" s="544"/>
      <c r="H2166" s="544"/>
      <c r="I2166" s="543"/>
      <c r="J2166" s="543"/>
      <c r="K2166" s="544"/>
      <c r="L2166" s="543"/>
      <c r="M2166" s="544"/>
      <c r="N2166" s="543"/>
      <c r="O2166" s="544"/>
      <c r="P2166" s="544"/>
      <c r="Q2166" s="544"/>
      <c r="R2166" s="544"/>
      <c r="S2166" s="544"/>
    </row>
    <row r="2167" ht="14.25" customHeight="1">
      <c r="A2167" s="542"/>
      <c r="B2167" s="543"/>
      <c r="C2167" s="543"/>
      <c r="D2167" s="544"/>
      <c r="E2167" s="544"/>
      <c r="F2167" s="544"/>
      <c r="G2167" s="544"/>
      <c r="H2167" s="544"/>
      <c r="I2167" s="543"/>
      <c r="J2167" s="543"/>
      <c r="K2167" s="544"/>
      <c r="L2167" s="543"/>
      <c r="M2167" s="544"/>
      <c r="N2167" s="543"/>
      <c r="O2167" s="544"/>
      <c r="P2167" s="544"/>
      <c r="Q2167" s="544"/>
      <c r="R2167" s="544"/>
      <c r="S2167" s="544"/>
    </row>
    <row r="2168" ht="14.25" customHeight="1">
      <c r="A2168" s="542"/>
      <c r="B2168" s="543"/>
      <c r="C2168" s="543"/>
      <c r="D2168" s="544"/>
      <c r="E2168" s="544"/>
      <c r="F2168" s="544"/>
      <c r="G2168" s="544"/>
      <c r="H2168" s="544"/>
      <c r="I2168" s="543"/>
      <c r="J2168" s="543"/>
      <c r="K2168" s="544"/>
      <c r="L2168" s="543"/>
      <c r="M2168" s="544"/>
      <c r="N2168" s="543"/>
      <c r="O2168" s="544"/>
      <c r="P2168" s="544"/>
      <c r="Q2168" s="544"/>
      <c r="R2168" s="544"/>
      <c r="S2168" s="544"/>
    </row>
    <row r="2169" ht="14.25" customHeight="1">
      <c r="A2169" s="542"/>
      <c r="B2169" s="543"/>
      <c r="C2169" s="543"/>
      <c r="D2169" s="544"/>
      <c r="E2169" s="544"/>
      <c r="F2169" s="544"/>
      <c r="G2169" s="544"/>
      <c r="H2169" s="544"/>
      <c r="I2169" s="543"/>
      <c r="J2169" s="543"/>
      <c r="K2169" s="544"/>
      <c r="L2169" s="543"/>
      <c r="M2169" s="544"/>
      <c r="N2169" s="543"/>
      <c r="O2169" s="544"/>
      <c r="P2169" s="544"/>
      <c r="Q2169" s="544"/>
      <c r="R2169" s="544"/>
      <c r="S2169" s="544"/>
    </row>
    <row r="2170" ht="14.25" customHeight="1">
      <c r="A2170" s="542"/>
      <c r="B2170" s="543"/>
      <c r="C2170" s="543"/>
      <c r="D2170" s="544"/>
      <c r="E2170" s="544"/>
      <c r="F2170" s="544"/>
      <c r="G2170" s="544"/>
      <c r="H2170" s="544"/>
      <c r="I2170" s="543"/>
      <c r="J2170" s="543"/>
      <c r="K2170" s="544"/>
      <c r="L2170" s="543"/>
      <c r="M2170" s="544"/>
      <c r="N2170" s="543"/>
      <c r="O2170" s="544"/>
      <c r="P2170" s="544"/>
      <c r="Q2170" s="544"/>
      <c r="R2170" s="544"/>
      <c r="S2170" s="544"/>
    </row>
    <row r="2171" ht="14.25" customHeight="1">
      <c r="A2171" s="542"/>
      <c r="B2171" s="543"/>
      <c r="C2171" s="543"/>
      <c r="D2171" s="544"/>
      <c r="E2171" s="544"/>
      <c r="F2171" s="544"/>
      <c r="G2171" s="544"/>
      <c r="H2171" s="544"/>
      <c r="I2171" s="543"/>
      <c r="J2171" s="543"/>
      <c r="K2171" s="544"/>
      <c r="L2171" s="543"/>
      <c r="M2171" s="544"/>
      <c r="N2171" s="543"/>
      <c r="O2171" s="544"/>
      <c r="P2171" s="544"/>
      <c r="Q2171" s="544"/>
      <c r="R2171" s="544"/>
      <c r="S2171" s="544"/>
    </row>
    <row r="2172" ht="14.25" customHeight="1">
      <c r="A2172" s="542"/>
      <c r="B2172" s="543"/>
      <c r="C2172" s="543"/>
      <c r="D2172" s="544"/>
      <c r="E2172" s="544"/>
      <c r="F2172" s="544"/>
      <c r="G2172" s="544"/>
      <c r="H2172" s="544"/>
      <c r="I2172" s="543"/>
      <c r="J2172" s="543"/>
      <c r="K2172" s="544"/>
      <c r="L2172" s="543"/>
      <c r="M2172" s="544"/>
      <c r="N2172" s="543"/>
      <c r="O2172" s="544"/>
      <c r="P2172" s="544"/>
      <c r="Q2172" s="544"/>
      <c r="R2172" s="544"/>
      <c r="S2172" s="544"/>
    </row>
    <row r="2173" ht="14.25" customHeight="1">
      <c r="A2173" s="542"/>
      <c r="B2173" s="543"/>
      <c r="C2173" s="543"/>
      <c r="D2173" s="544"/>
      <c r="E2173" s="544"/>
      <c r="F2173" s="544"/>
      <c r="G2173" s="544"/>
      <c r="H2173" s="544"/>
      <c r="I2173" s="543"/>
      <c r="J2173" s="543"/>
      <c r="K2173" s="544"/>
      <c r="L2173" s="543"/>
      <c r="M2173" s="544"/>
      <c r="N2173" s="543"/>
      <c r="O2173" s="544"/>
      <c r="P2173" s="544"/>
      <c r="Q2173" s="544"/>
      <c r="R2173" s="544"/>
      <c r="S2173" s="544"/>
    </row>
    <row r="2174" ht="14.25" customHeight="1">
      <c r="A2174" s="542"/>
      <c r="B2174" s="543"/>
      <c r="C2174" s="543"/>
      <c r="D2174" s="544"/>
      <c r="E2174" s="544"/>
      <c r="F2174" s="544"/>
      <c r="G2174" s="544"/>
      <c r="H2174" s="544"/>
      <c r="I2174" s="543"/>
      <c r="J2174" s="543"/>
      <c r="K2174" s="544"/>
      <c r="L2174" s="543"/>
      <c r="M2174" s="544"/>
      <c r="N2174" s="543"/>
      <c r="O2174" s="544"/>
      <c r="P2174" s="544"/>
      <c r="Q2174" s="544"/>
      <c r="R2174" s="544"/>
      <c r="S2174" s="544"/>
    </row>
    <row r="2175" ht="14.25" customHeight="1">
      <c r="A2175" s="542"/>
      <c r="B2175" s="543"/>
      <c r="C2175" s="543"/>
      <c r="D2175" s="544"/>
      <c r="E2175" s="544"/>
      <c r="F2175" s="544"/>
      <c r="G2175" s="544"/>
      <c r="H2175" s="544"/>
      <c r="I2175" s="543"/>
      <c r="J2175" s="543"/>
      <c r="K2175" s="544"/>
      <c r="L2175" s="543"/>
      <c r="M2175" s="544"/>
      <c r="N2175" s="543"/>
      <c r="O2175" s="544"/>
      <c r="P2175" s="544"/>
      <c r="Q2175" s="544"/>
      <c r="R2175" s="544"/>
      <c r="S2175" s="544"/>
    </row>
    <row r="2176" ht="14.25" customHeight="1">
      <c r="A2176" s="542"/>
      <c r="B2176" s="543"/>
      <c r="C2176" s="543"/>
      <c r="D2176" s="544"/>
      <c r="E2176" s="544"/>
      <c r="F2176" s="544"/>
      <c r="G2176" s="544"/>
      <c r="H2176" s="544"/>
      <c r="I2176" s="543"/>
      <c r="J2176" s="543"/>
      <c r="K2176" s="544"/>
      <c r="L2176" s="543"/>
      <c r="M2176" s="544"/>
      <c r="N2176" s="543"/>
      <c r="O2176" s="544"/>
      <c r="P2176" s="544"/>
      <c r="Q2176" s="544"/>
      <c r="R2176" s="544"/>
      <c r="S2176" s="544"/>
    </row>
    <row r="2177" ht="14.25" customHeight="1">
      <c r="A2177" s="542"/>
      <c r="B2177" s="543"/>
      <c r="C2177" s="543"/>
      <c r="D2177" s="544"/>
      <c r="E2177" s="544"/>
      <c r="F2177" s="544"/>
      <c r="G2177" s="544"/>
      <c r="H2177" s="544"/>
      <c r="I2177" s="543"/>
      <c r="J2177" s="543"/>
      <c r="K2177" s="544"/>
      <c r="L2177" s="543"/>
      <c r="M2177" s="544"/>
      <c r="N2177" s="543"/>
      <c r="O2177" s="544"/>
      <c r="P2177" s="544"/>
      <c r="Q2177" s="544"/>
      <c r="R2177" s="544"/>
      <c r="S2177" s="544"/>
    </row>
    <row r="2178" ht="14.25" customHeight="1">
      <c r="A2178" s="542"/>
      <c r="B2178" s="543"/>
      <c r="C2178" s="543"/>
      <c r="D2178" s="544"/>
      <c r="E2178" s="544"/>
      <c r="F2178" s="544"/>
      <c r="G2178" s="544"/>
      <c r="H2178" s="544"/>
      <c r="I2178" s="543"/>
      <c r="J2178" s="543"/>
      <c r="K2178" s="544"/>
      <c r="L2178" s="543"/>
      <c r="M2178" s="544"/>
      <c r="N2178" s="543"/>
      <c r="O2178" s="544"/>
      <c r="P2178" s="544"/>
      <c r="Q2178" s="544"/>
      <c r="R2178" s="544"/>
      <c r="S2178" s="544"/>
    </row>
    <row r="2179" ht="14.25" customHeight="1">
      <c r="A2179" s="542"/>
      <c r="B2179" s="543"/>
      <c r="C2179" s="543"/>
      <c r="D2179" s="544"/>
      <c r="E2179" s="544"/>
      <c r="F2179" s="544"/>
      <c r="G2179" s="544"/>
      <c r="H2179" s="544"/>
      <c r="I2179" s="543"/>
      <c r="J2179" s="543"/>
      <c r="K2179" s="544"/>
      <c r="L2179" s="543"/>
      <c r="M2179" s="544"/>
      <c r="N2179" s="543"/>
      <c r="O2179" s="544"/>
      <c r="P2179" s="544"/>
      <c r="Q2179" s="544"/>
      <c r="R2179" s="544"/>
      <c r="S2179" s="544"/>
    </row>
    <row r="2180" ht="14.25" customHeight="1">
      <c r="A2180" s="542"/>
      <c r="B2180" s="543"/>
      <c r="C2180" s="543"/>
      <c r="D2180" s="544"/>
      <c r="E2180" s="544"/>
      <c r="F2180" s="544"/>
      <c r="G2180" s="544"/>
      <c r="H2180" s="544"/>
      <c r="I2180" s="543"/>
      <c r="J2180" s="543"/>
      <c r="K2180" s="544"/>
      <c r="L2180" s="543"/>
      <c r="M2180" s="544"/>
      <c r="N2180" s="543"/>
      <c r="O2180" s="544"/>
      <c r="P2180" s="544"/>
      <c r="Q2180" s="544"/>
      <c r="R2180" s="544"/>
      <c r="S2180" s="544"/>
    </row>
    <row r="2181" ht="14.25" customHeight="1">
      <c r="A2181" s="542"/>
      <c r="B2181" s="543"/>
      <c r="C2181" s="543"/>
      <c r="D2181" s="544"/>
      <c r="E2181" s="544"/>
      <c r="F2181" s="544"/>
      <c r="G2181" s="544"/>
      <c r="H2181" s="544"/>
      <c r="I2181" s="543"/>
      <c r="J2181" s="543"/>
      <c r="K2181" s="544"/>
      <c r="L2181" s="543"/>
      <c r="M2181" s="544"/>
      <c r="N2181" s="543"/>
      <c r="O2181" s="544"/>
      <c r="P2181" s="544"/>
      <c r="Q2181" s="544"/>
      <c r="R2181" s="544"/>
      <c r="S2181" s="544"/>
    </row>
    <row r="2182" ht="14.25" customHeight="1">
      <c r="A2182" s="542"/>
      <c r="B2182" s="543"/>
      <c r="C2182" s="543"/>
      <c r="D2182" s="544"/>
      <c r="E2182" s="544"/>
      <c r="F2182" s="544"/>
      <c r="G2182" s="544"/>
      <c r="H2182" s="544"/>
      <c r="I2182" s="543"/>
      <c r="J2182" s="543"/>
      <c r="K2182" s="544"/>
      <c r="L2182" s="543"/>
      <c r="M2182" s="544"/>
      <c r="N2182" s="543"/>
      <c r="O2182" s="544"/>
      <c r="P2182" s="544"/>
      <c r="Q2182" s="544"/>
      <c r="R2182" s="544"/>
      <c r="S2182" s="544"/>
    </row>
    <row r="2183" ht="14.25" customHeight="1">
      <c r="A2183" s="542"/>
      <c r="B2183" s="543"/>
      <c r="C2183" s="543"/>
      <c r="D2183" s="544"/>
      <c r="E2183" s="544"/>
      <c r="F2183" s="544"/>
      <c r="G2183" s="544"/>
      <c r="H2183" s="544"/>
      <c r="I2183" s="543"/>
      <c r="J2183" s="543"/>
      <c r="K2183" s="544"/>
      <c r="L2183" s="543"/>
      <c r="M2183" s="544"/>
      <c r="N2183" s="543"/>
      <c r="O2183" s="544"/>
      <c r="P2183" s="544"/>
      <c r="Q2183" s="544"/>
      <c r="R2183" s="544"/>
      <c r="S2183" s="544"/>
    </row>
    <row r="2184" ht="14.25" customHeight="1">
      <c r="A2184" s="542"/>
      <c r="B2184" s="543"/>
      <c r="C2184" s="543"/>
      <c r="D2184" s="544"/>
      <c r="E2184" s="544"/>
      <c r="F2184" s="544"/>
      <c r="G2184" s="544"/>
      <c r="H2184" s="544"/>
      <c r="I2184" s="543"/>
      <c r="J2184" s="543"/>
      <c r="K2184" s="544"/>
      <c r="L2184" s="543"/>
      <c r="M2184" s="544"/>
      <c r="N2184" s="543"/>
      <c r="O2184" s="544"/>
      <c r="P2184" s="544"/>
      <c r="Q2184" s="544"/>
      <c r="R2184" s="544"/>
      <c r="S2184" s="544"/>
    </row>
    <row r="2185" ht="14.25" customHeight="1">
      <c r="A2185" s="542"/>
      <c r="B2185" s="543"/>
      <c r="C2185" s="543"/>
      <c r="D2185" s="544"/>
      <c r="E2185" s="544"/>
      <c r="F2185" s="544"/>
      <c r="G2185" s="544"/>
      <c r="H2185" s="544"/>
      <c r="I2185" s="543"/>
      <c r="J2185" s="543"/>
      <c r="K2185" s="544"/>
      <c r="L2185" s="543"/>
      <c r="M2185" s="544"/>
      <c r="N2185" s="543"/>
      <c r="O2185" s="544"/>
      <c r="P2185" s="544"/>
      <c r="Q2185" s="544"/>
      <c r="R2185" s="544"/>
      <c r="S2185" s="544"/>
    </row>
    <row r="2186" ht="14.25" customHeight="1">
      <c r="A2186" s="542"/>
      <c r="B2186" s="543"/>
      <c r="C2186" s="543"/>
      <c r="D2186" s="544"/>
      <c r="E2186" s="544"/>
      <c r="F2186" s="544"/>
      <c r="G2186" s="544"/>
      <c r="H2186" s="544"/>
      <c r="I2186" s="543"/>
      <c r="J2186" s="543"/>
      <c r="K2186" s="544"/>
      <c r="L2186" s="543"/>
      <c r="M2186" s="544"/>
      <c r="N2186" s="543"/>
      <c r="O2186" s="544"/>
      <c r="P2186" s="544"/>
      <c r="Q2186" s="544"/>
      <c r="R2186" s="544"/>
      <c r="S2186" s="544"/>
    </row>
    <row r="2187" ht="14.25" customHeight="1">
      <c r="A2187" s="542"/>
      <c r="B2187" s="543"/>
      <c r="C2187" s="543"/>
      <c r="D2187" s="544"/>
      <c r="E2187" s="544"/>
      <c r="F2187" s="544"/>
      <c r="G2187" s="544"/>
      <c r="H2187" s="544"/>
      <c r="I2187" s="543"/>
      <c r="J2187" s="543"/>
      <c r="K2187" s="544"/>
      <c r="L2187" s="543"/>
      <c r="M2187" s="544"/>
      <c r="N2187" s="543"/>
      <c r="O2187" s="544"/>
      <c r="P2187" s="544"/>
      <c r="Q2187" s="544"/>
      <c r="R2187" s="544"/>
      <c r="S2187" s="544"/>
    </row>
    <row r="2188" ht="14.25" customHeight="1">
      <c r="A2188" s="542"/>
      <c r="B2188" s="543"/>
      <c r="C2188" s="543"/>
      <c r="D2188" s="544"/>
      <c r="E2188" s="544"/>
      <c r="F2188" s="544"/>
      <c r="G2188" s="544"/>
      <c r="H2188" s="544"/>
      <c r="I2188" s="543"/>
      <c r="J2188" s="543"/>
      <c r="K2188" s="544"/>
      <c r="L2188" s="543"/>
      <c r="M2188" s="544"/>
      <c r="N2188" s="543"/>
      <c r="O2188" s="544"/>
      <c r="P2188" s="544"/>
      <c r="Q2188" s="544"/>
      <c r="R2188" s="544"/>
      <c r="S2188" s="544"/>
    </row>
    <row r="2189" ht="14.25" customHeight="1">
      <c r="A2189" s="542"/>
      <c r="B2189" s="543"/>
      <c r="C2189" s="543"/>
      <c r="D2189" s="544"/>
      <c r="E2189" s="544"/>
      <c r="F2189" s="544"/>
      <c r="G2189" s="544"/>
      <c r="H2189" s="544"/>
      <c r="I2189" s="543"/>
      <c r="J2189" s="543"/>
      <c r="K2189" s="544"/>
      <c r="L2189" s="543"/>
      <c r="M2189" s="544"/>
      <c r="N2189" s="543"/>
      <c r="O2189" s="544"/>
      <c r="P2189" s="544"/>
      <c r="Q2189" s="544"/>
      <c r="R2189" s="544"/>
      <c r="S2189" s="544"/>
    </row>
    <row r="2190" ht="14.25" customHeight="1">
      <c r="A2190" s="542"/>
      <c r="B2190" s="543"/>
      <c r="C2190" s="543"/>
      <c r="D2190" s="544"/>
      <c r="E2190" s="544"/>
      <c r="F2190" s="544"/>
      <c r="G2190" s="544"/>
      <c r="H2190" s="544"/>
      <c r="I2190" s="543"/>
      <c r="J2190" s="543"/>
      <c r="K2190" s="544"/>
      <c r="L2190" s="543"/>
      <c r="M2190" s="544"/>
      <c r="N2190" s="543"/>
      <c r="O2190" s="544"/>
      <c r="P2190" s="544"/>
      <c r="Q2190" s="544"/>
      <c r="R2190" s="544"/>
      <c r="S2190" s="544"/>
    </row>
    <row r="2191" ht="14.25" customHeight="1">
      <c r="A2191" s="542"/>
      <c r="B2191" s="543"/>
      <c r="C2191" s="543"/>
      <c r="D2191" s="544"/>
      <c r="E2191" s="544"/>
      <c r="F2191" s="544"/>
      <c r="G2191" s="544"/>
      <c r="H2191" s="544"/>
      <c r="I2191" s="543"/>
      <c r="J2191" s="543"/>
      <c r="K2191" s="544"/>
      <c r="L2191" s="543"/>
      <c r="M2191" s="544"/>
      <c r="N2191" s="543"/>
      <c r="O2191" s="544"/>
      <c r="P2191" s="544"/>
      <c r="Q2191" s="544"/>
      <c r="R2191" s="544"/>
      <c r="S2191" s="544"/>
    </row>
    <row r="2192" ht="14.25" customHeight="1">
      <c r="A2192" s="542"/>
      <c r="B2192" s="543"/>
      <c r="C2192" s="543"/>
      <c r="D2192" s="544"/>
      <c r="E2192" s="544"/>
      <c r="F2192" s="544"/>
      <c r="G2192" s="544"/>
      <c r="H2192" s="544"/>
      <c r="I2192" s="543"/>
      <c r="J2192" s="543"/>
      <c r="K2192" s="544"/>
      <c r="L2192" s="543"/>
      <c r="M2192" s="544"/>
      <c r="N2192" s="543"/>
      <c r="O2192" s="544"/>
      <c r="P2192" s="544"/>
      <c r="Q2192" s="544"/>
      <c r="R2192" s="544"/>
      <c r="S2192" s="544"/>
    </row>
    <row r="2193" ht="14.25" customHeight="1">
      <c r="A2193" s="542"/>
      <c r="B2193" s="543"/>
      <c r="C2193" s="543"/>
      <c r="D2193" s="544"/>
      <c r="E2193" s="544"/>
      <c r="F2193" s="544"/>
      <c r="G2193" s="544"/>
      <c r="H2193" s="544"/>
      <c r="I2193" s="543"/>
      <c r="J2193" s="543"/>
      <c r="K2193" s="544"/>
      <c r="L2193" s="543"/>
      <c r="M2193" s="544"/>
      <c r="N2193" s="543"/>
      <c r="O2193" s="544"/>
      <c r="P2193" s="544"/>
      <c r="Q2193" s="544"/>
      <c r="R2193" s="544"/>
      <c r="S2193" s="544"/>
    </row>
    <row r="2194" ht="14.25" customHeight="1">
      <c r="A2194" s="542"/>
      <c r="B2194" s="543"/>
      <c r="C2194" s="543"/>
      <c r="D2194" s="544"/>
      <c r="E2194" s="544"/>
      <c r="F2194" s="544"/>
      <c r="G2194" s="544"/>
      <c r="H2194" s="544"/>
      <c r="I2194" s="543"/>
      <c r="J2194" s="543"/>
      <c r="K2194" s="544"/>
      <c r="L2194" s="543"/>
      <c r="M2194" s="544"/>
      <c r="N2194" s="543"/>
      <c r="O2194" s="544"/>
      <c r="P2194" s="544"/>
      <c r="Q2194" s="544"/>
      <c r="R2194" s="544"/>
      <c r="S2194" s="544"/>
    </row>
    <row r="2195" ht="14.25" customHeight="1">
      <c r="A2195" s="542"/>
      <c r="B2195" s="543"/>
      <c r="C2195" s="543"/>
      <c r="D2195" s="544"/>
      <c r="E2195" s="544"/>
      <c r="F2195" s="544"/>
      <c r="G2195" s="544"/>
      <c r="H2195" s="544"/>
      <c r="I2195" s="543"/>
      <c r="J2195" s="543"/>
      <c r="K2195" s="544"/>
      <c r="L2195" s="543"/>
      <c r="M2195" s="544"/>
      <c r="N2195" s="543"/>
      <c r="O2195" s="544"/>
      <c r="P2195" s="544"/>
      <c r="Q2195" s="544"/>
      <c r="R2195" s="544"/>
      <c r="S2195" s="544"/>
    </row>
    <row r="2196" ht="14.25" customHeight="1">
      <c r="A2196" s="542"/>
      <c r="B2196" s="543"/>
      <c r="C2196" s="543"/>
      <c r="D2196" s="544"/>
      <c r="E2196" s="544"/>
      <c r="F2196" s="544"/>
      <c r="G2196" s="544"/>
      <c r="H2196" s="544"/>
      <c r="I2196" s="543"/>
      <c r="J2196" s="543"/>
      <c r="K2196" s="544"/>
      <c r="L2196" s="543"/>
      <c r="M2196" s="544"/>
      <c r="N2196" s="543"/>
      <c r="O2196" s="544"/>
      <c r="P2196" s="544"/>
      <c r="Q2196" s="544"/>
      <c r="R2196" s="544"/>
      <c r="S2196" s="544"/>
    </row>
    <row r="2197" ht="14.25" customHeight="1">
      <c r="A2197" s="542"/>
      <c r="B2197" s="543"/>
      <c r="C2197" s="543"/>
      <c r="D2197" s="544"/>
      <c r="E2197" s="544"/>
      <c r="F2197" s="544"/>
      <c r="G2197" s="544"/>
      <c r="H2197" s="544"/>
      <c r="I2197" s="543"/>
      <c r="J2197" s="543"/>
      <c r="K2197" s="544"/>
      <c r="L2197" s="543"/>
      <c r="M2197" s="544"/>
      <c r="N2197" s="543"/>
      <c r="O2197" s="544"/>
      <c r="P2197" s="544"/>
      <c r="Q2197" s="544"/>
      <c r="R2197" s="544"/>
      <c r="S2197" s="544"/>
    </row>
    <row r="2198" ht="14.25" customHeight="1">
      <c r="A2198" s="542"/>
      <c r="B2198" s="543"/>
      <c r="C2198" s="543"/>
      <c r="D2198" s="544"/>
      <c r="E2198" s="544"/>
      <c r="F2198" s="544"/>
      <c r="G2198" s="544"/>
      <c r="H2198" s="544"/>
      <c r="I2198" s="543"/>
      <c r="J2198" s="543"/>
      <c r="K2198" s="544"/>
      <c r="L2198" s="543"/>
      <c r="M2198" s="544"/>
      <c r="N2198" s="543"/>
      <c r="O2198" s="544"/>
      <c r="P2198" s="544"/>
      <c r="Q2198" s="544"/>
      <c r="R2198" s="544"/>
      <c r="S2198" s="544"/>
    </row>
    <row r="2199" ht="14.25" customHeight="1">
      <c r="A2199" s="542"/>
      <c r="B2199" s="543"/>
      <c r="C2199" s="543"/>
      <c r="D2199" s="544"/>
      <c r="E2199" s="544"/>
      <c r="F2199" s="544"/>
      <c r="G2199" s="544"/>
      <c r="H2199" s="544"/>
      <c r="I2199" s="543"/>
      <c r="J2199" s="543"/>
      <c r="K2199" s="544"/>
      <c r="L2199" s="543"/>
      <c r="M2199" s="544"/>
      <c r="N2199" s="543"/>
      <c r="O2199" s="544"/>
      <c r="P2199" s="544"/>
      <c r="Q2199" s="544"/>
      <c r="R2199" s="544"/>
      <c r="S2199" s="544"/>
    </row>
    <row r="2200" ht="14.25" customHeight="1">
      <c r="A2200" s="542"/>
      <c r="B2200" s="543"/>
      <c r="C2200" s="543"/>
      <c r="D2200" s="544"/>
      <c r="E2200" s="544"/>
      <c r="F2200" s="544"/>
      <c r="G2200" s="544"/>
      <c r="H2200" s="544"/>
      <c r="I2200" s="543"/>
      <c r="J2200" s="543"/>
      <c r="K2200" s="544"/>
      <c r="L2200" s="543"/>
      <c r="M2200" s="544"/>
      <c r="N2200" s="543"/>
      <c r="O2200" s="544"/>
      <c r="P2200" s="544"/>
      <c r="Q2200" s="544"/>
      <c r="R2200" s="544"/>
      <c r="S2200" s="544"/>
    </row>
    <row r="2201" ht="14.25" customHeight="1">
      <c r="A2201" s="542"/>
      <c r="B2201" s="543"/>
      <c r="C2201" s="543"/>
      <c r="D2201" s="544"/>
      <c r="E2201" s="544"/>
      <c r="F2201" s="544"/>
      <c r="G2201" s="544"/>
      <c r="H2201" s="544"/>
      <c r="I2201" s="543"/>
      <c r="J2201" s="543"/>
      <c r="K2201" s="544"/>
      <c r="L2201" s="543"/>
      <c r="M2201" s="544"/>
      <c r="N2201" s="543"/>
      <c r="O2201" s="544"/>
      <c r="P2201" s="544"/>
      <c r="Q2201" s="544"/>
      <c r="R2201" s="544"/>
      <c r="S2201" s="544"/>
    </row>
    <row r="2202" ht="14.25" customHeight="1">
      <c r="A2202" s="542"/>
      <c r="B2202" s="543"/>
      <c r="C2202" s="543"/>
      <c r="D2202" s="544"/>
      <c r="E2202" s="544"/>
      <c r="F2202" s="544"/>
      <c r="G2202" s="544"/>
      <c r="H2202" s="544"/>
      <c r="I2202" s="543"/>
      <c r="J2202" s="543"/>
      <c r="K2202" s="544"/>
      <c r="L2202" s="543"/>
      <c r="M2202" s="544"/>
      <c r="N2202" s="543"/>
      <c r="O2202" s="544"/>
      <c r="P2202" s="544"/>
      <c r="Q2202" s="544"/>
      <c r="R2202" s="544"/>
      <c r="S2202" s="544"/>
    </row>
    <row r="2203" ht="14.25" customHeight="1">
      <c r="A2203" s="542"/>
      <c r="B2203" s="543"/>
      <c r="C2203" s="543"/>
      <c r="D2203" s="544"/>
      <c r="E2203" s="544"/>
      <c r="F2203" s="544"/>
      <c r="G2203" s="544"/>
      <c r="H2203" s="544"/>
      <c r="I2203" s="543"/>
      <c r="J2203" s="543"/>
      <c r="K2203" s="544"/>
      <c r="L2203" s="543"/>
      <c r="M2203" s="544"/>
      <c r="N2203" s="543"/>
      <c r="O2203" s="544"/>
      <c r="P2203" s="544"/>
      <c r="Q2203" s="544"/>
      <c r="R2203" s="544"/>
      <c r="S2203" s="544"/>
    </row>
    <row r="2204" ht="14.25" customHeight="1">
      <c r="A2204" s="542"/>
      <c r="B2204" s="543"/>
      <c r="C2204" s="543"/>
      <c r="D2204" s="544"/>
      <c r="E2204" s="544"/>
      <c r="F2204" s="544"/>
      <c r="G2204" s="544"/>
      <c r="H2204" s="544"/>
      <c r="I2204" s="543"/>
      <c r="J2204" s="543"/>
      <c r="K2204" s="544"/>
      <c r="L2204" s="543"/>
      <c r="M2204" s="544"/>
      <c r="N2204" s="543"/>
      <c r="O2204" s="544"/>
      <c r="P2204" s="544"/>
      <c r="Q2204" s="544"/>
      <c r="R2204" s="544"/>
      <c r="S2204" s="544"/>
    </row>
    <row r="2205" ht="14.25" customHeight="1">
      <c r="A2205" s="542"/>
      <c r="B2205" s="543"/>
      <c r="C2205" s="543"/>
      <c r="D2205" s="544"/>
      <c r="E2205" s="544"/>
      <c r="F2205" s="544"/>
      <c r="G2205" s="544"/>
      <c r="H2205" s="544"/>
      <c r="I2205" s="543"/>
      <c r="J2205" s="543"/>
      <c r="K2205" s="544"/>
      <c r="L2205" s="543"/>
      <c r="M2205" s="544"/>
      <c r="N2205" s="543"/>
      <c r="O2205" s="544"/>
      <c r="P2205" s="544"/>
      <c r="Q2205" s="544"/>
      <c r="R2205" s="544"/>
      <c r="S2205" s="544"/>
    </row>
    <row r="2206" ht="14.25" customHeight="1">
      <c r="A2206" s="542"/>
      <c r="B2206" s="543"/>
      <c r="C2206" s="543"/>
      <c r="D2206" s="544"/>
      <c r="E2206" s="544"/>
      <c r="F2206" s="544"/>
      <c r="G2206" s="544"/>
      <c r="H2206" s="544"/>
      <c r="I2206" s="543"/>
      <c r="J2206" s="543"/>
      <c r="K2206" s="544"/>
      <c r="L2206" s="543"/>
      <c r="M2206" s="544"/>
      <c r="N2206" s="543"/>
      <c r="O2206" s="544"/>
      <c r="P2206" s="544"/>
      <c r="Q2206" s="544"/>
      <c r="R2206" s="544"/>
      <c r="S2206" s="544"/>
    </row>
    <row r="2207" ht="14.25" customHeight="1">
      <c r="A2207" s="542"/>
      <c r="B2207" s="543"/>
      <c r="C2207" s="543"/>
      <c r="D2207" s="544"/>
      <c r="E2207" s="544"/>
      <c r="F2207" s="544"/>
      <c r="G2207" s="544"/>
      <c r="H2207" s="544"/>
      <c r="I2207" s="543"/>
      <c r="J2207" s="543"/>
      <c r="K2207" s="544"/>
      <c r="L2207" s="543"/>
      <c r="M2207" s="544"/>
      <c r="N2207" s="543"/>
      <c r="O2207" s="544"/>
      <c r="P2207" s="544"/>
      <c r="Q2207" s="544"/>
      <c r="R2207" s="544"/>
      <c r="S2207" s="544"/>
    </row>
    <row r="2208" ht="14.25" customHeight="1">
      <c r="A2208" s="542"/>
      <c r="B2208" s="543"/>
      <c r="C2208" s="543"/>
      <c r="D2208" s="544"/>
      <c r="E2208" s="544"/>
      <c r="F2208" s="544"/>
      <c r="G2208" s="544"/>
      <c r="H2208" s="544"/>
      <c r="I2208" s="543"/>
      <c r="J2208" s="543"/>
      <c r="K2208" s="544"/>
      <c r="L2208" s="543"/>
      <c r="M2208" s="544"/>
      <c r="N2208" s="543"/>
      <c r="O2208" s="544"/>
      <c r="P2208" s="544"/>
      <c r="Q2208" s="544"/>
      <c r="R2208" s="544"/>
      <c r="S2208" s="544"/>
    </row>
    <row r="2209" ht="14.25" customHeight="1">
      <c r="A2209" s="542"/>
      <c r="B2209" s="543"/>
      <c r="C2209" s="543"/>
      <c r="D2209" s="544"/>
      <c r="E2209" s="544"/>
      <c r="F2209" s="544"/>
      <c r="G2209" s="544"/>
      <c r="H2209" s="544"/>
      <c r="I2209" s="543"/>
      <c r="J2209" s="543"/>
      <c r="K2209" s="544"/>
      <c r="L2209" s="543"/>
      <c r="M2209" s="544"/>
      <c r="N2209" s="543"/>
      <c r="O2209" s="544"/>
      <c r="P2209" s="544"/>
      <c r="Q2209" s="544"/>
      <c r="R2209" s="544"/>
      <c r="S2209" s="544"/>
    </row>
    <row r="2210" ht="14.25" customHeight="1">
      <c r="A2210" s="542"/>
      <c r="B2210" s="543"/>
      <c r="C2210" s="543"/>
      <c r="D2210" s="544"/>
      <c r="E2210" s="544"/>
      <c r="F2210" s="544"/>
      <c r="G2210" s="544"/>
      <c r="H2210" s="544"/>
      <c r="I2210" s="543"/>
      <c r="J2210" s="543"/>
      <c r="K2210" s="544"/>
      <c r="L2210" s="543"/>
      <c r="M2210" s="544"/>
      <c r="N2210" s="543"/>
      <c r="O2210" s="544"/>
      <c r="P2210" s="544"/>
      <c r="Q2210" s="544"/>
      <c r="R2210" s="544"/>
      <c r="S2210" s="544"/>
    </row>
    <row r="2211" ht="14.25" customHeight="1">
      <c r="A2211" s="542"/>
      <c r="B2211" s="543"/>
      <c r="C2211" s="543"/>
      <c r="D2211" s="544"/>
      <c r="E2211" s="544"/>
      <c r="F2211" s="544"/>
      <c r="G2211" s="544"/>
      <c r="H2211" s="544"/>
      <c r="I2211" s="543"/>
      <c r="J2211" s="543"/>
      <c r="K2211" s="544"/>
      <c r="L2211" s="543"/>
      <c r="M2211" s="544"/>
      <c r="N2211" s="543"/>
      <c r="O2211" s="544"/>
      <c r="P2211" s="544"/>
      <c r="Q2211" s="544"/>
      <c r="R2211" s="544"/>
      <c r="S2211" s="544"/>
    </row>
    <row r="2212" ht="14.25" customHeight="1">
      <c r="A2212" s="542"/>
      <c r="B2212" s="543"/>
      <c r="C2212" s="543"/>
      <c r="D2212" s="544"/>
      <c r="E2212" s="544"/>
      <c r="F2212" s="544"/>
      <c r="G2212" s="544"/>
      <c r="H2212" s="544"/>
      <c r="I2212" s="543"/>
      <c r="J2212" s="543"/>
      <c r="K2212" s="544"/>
      <c r="L2212" s="543"/>
      <c r="M2212" s="544"/>
      <c r="N2212" s="543"/>
      <c r="O2212" s="544"/>
      <c r="P2212" s="544"/>
      <c r="Q2212" s="544"/>
      <c r="R2212" s="544"/>
      <c r="S2212" s="544"/>
    </row>
    <row r="2213" ht="14.25" customHeight="1">
      <c r="A2213" s="542"/>
      <c r="B2213" s="543"/>
      <c r="C2213" s="543"/>
      <c r="D2213" s="544"/>
      <c r="E2213" s="544"/>
      <c r="F2213" s="544"/>
      <c r="G2213" s="544"/>
      <c r="H2213" s="544"/>
      <c r="I2213" s="543"/>
      <c r="J2213" s="543"/>
      <c r="K2213" s="544"/>
      <c r="L2213" s="543"/>
      <c r="M2213" s="544"/>
      <c r="N2213" s="543"/>
      <c r="O2213" s="544"/>
      <c r="P2213" s="544"/>
      <c r="Q2213" s="544"/>
      <c r="R2213" s="544"/>
      <c r="S2213" s="544"/>
    </row>
    <row r="2214" ht="14.25" customHeight="1">
      <c r="A2214" s="542"/>
      <c r="B2214" s="543"/>
      <c r="C2214" s="543"/>
      <c r="D2214" s="544"/>
      <c r="E2214" s="544"/>
      <c r="F2214" s="544"/>
      <c r="G2214" s="544"/>
      <c r="H2214" s="544"/>
      <c r="I2214" s="543"/>
      <c r="J2214" s="543"/>
      <c r="K2214" s="544"/>
      <c r="L2214" s="543"/>
      <c r="M2214" s="544"/>
      <c r="N2214" s="543"/>
      <c r="O2214" s="544"/>
      <c r="P2214" s="544"/>
      <c r="Q2214" s="544"/>
      <c r="R2214" s="544"/>
      <c r="S2214" s="544"/>
    </row>
    <row r="2215" ht="14.25" customHeight="1">
      <c r="A2215" s="542"/>
      <c r="B2215" s="543"/>
      <c r="C2215" s="543"/>
      <c r="D2215" s="544"/>
      <c r="E2215" s="544"/>
      <c r="F2215" s="544"/>
      <c r="G2215" s="544"/>
      <c r="H2215" s="544"/>
      <c r="I2215" s="543"/>
      <c r="J2215" s="543"/>
      <c r="K2215" s="544"/>
      <c r="L2215" s="543"/>
      <c r="M2215" s="544"/>
      <c r="N2215" s="543"/>
      <c r="O2215" s="544"/>
      <c r="P2215" s="544"/>
      <c r="Q2215" s="544"/>
      <c r="R2215" s="544"/>
      <c r="S2215" s="544"/>
    </row>
    <row r="2216" ht="14.25" customHeight="1">
      <c r="A2216" s="542"/>
      <c r="B2216" s="543"/>
      <c r="C2216" s="543"/>
      <c r="D2216" s="544"/>
      <c r="E2216" s="544"/>
      <c r="F2216" s="544"/>
      <c r="G2216" s="544"/>
      <c r="H2216" s="544"/>
      <c r="I2216" s="543"/>
      <c r="J2216" s="543"/>
      <c r="K2216" s="544"/>
      <c r="L2216" s="543"/>
      <c r="M2216" s="544"/>
      <c r="N2216" s="543"/>
      <c r="O2216" s="544"/>
      <c r="P2216" s="544"/>
      <c r="Q2216" s="544"/>
      <c r="R2216" s="544"/>
      <c r="S2216" s="544"/>
    </row>
    <row r="2217" ht="14.25" customHeight="1">
      <c r="A2217" s="542"/>
      <c r="B2217" s="543"/>
      <c r="C2217" s="543"/>
      <c r="D2217" s="544"/>
      <c r="E2217" s="544"/>
      <c r="F2217" s="544"/>
      <c r="G2217" s="544"/>
      <c r="H2217" s="544"/>
      <c r="I2217" s="543"/>
      <c r="J2217" s="543"/>
      <c r="K2217" s="544"/>
      <c r="L2217" s="543"/>
      <c r="M2217" s="544"/>
      <c r="N2217" s="543"/>
      <c r="O2217" s="544"/>
      <c r="P2217" s="544"/>
      <c r="Q2217" s="544"/>
      <c r="R2217" s="544"/>
      <c r="S2217" s="544"/>
    </row>
    <row r="2218" ht="14.25" customHeight="1">
      <c r="A2218" s="542"/>
      <c r="B2218" s="543"/>
      <c r="C2218" s="543"/>
      <c r="D2218" s="544"/>
      <c r="E2218" s="544"/>
      <c r="F2218" s="544"/>
      <c r="G2218" s="544"/>
      <c r="H2218" s="544"/>
      <c r="I2218" s="543"/>
      <c r="J2218" s="543"/>
      <c r="K2218" s="544"/>
      <c r="L2218" s="543"/>
      <c r="M2218" s="544"/>
      <c r="N2218" s="543"/>
      <c r="O2218" s="544"/>
      <c r="P2218" s="544"/>
      <c r="Q2218" s="544"/>
      <c r="R2218" s="544"/>
      <c r="S2218" s="544"/>
    </row>
    <row r="2219" ht="14.25" customHeight="1">
      <c r="A2219" s="542"/>
      <c r="B2219" s="543"/>
      <c r="C2219" s="543"/>
      <c r="D2219" s="544"/>
      <c r="E2219" s="544"/>
      <c r="F2219" s="544"/>
      <c r="G2219" s="544"/>
      <c r="H2219" s="544"/>
      <c r="I2219" s="543"/>
      <c r="J2219" s="543"/>
      <c r="K2219" s="544"/>
      <c r="L2219" s="543"/>
      <c r="M2219" s="544"/>
      <c r="N2219" s="543"/>
      <c r="O2219" s="544"/>
      <c r="P2219" s="544"/>
      <c r="Q2219" s="544"/>
      <c r="R2219" s="544"/>
      <c r="S2219" s="544"/>
    </row>
    <row r="2220" ht="14.25" customHeight="1">
      <c r="A2220" s="542"/>
      <c r="B2220" s="543"/>
      <c r="C2220" s="543"/>
      <c r="D2220" s="544"/>
      <c r="E2220" s="544"/>
      <c r="F2220" s="544"/>
      <c r="G2220" s="544"/>
      <c r="H2220" s="544"/>
      <c r="I2220" s="543"/>
      <c r="J2220" s="543"/>
      <c r="K2220" s="544"/>
      <c r="L2220" s="543"/>
      <c r="M2220" s="544"/>
      <c r="N2220" s="543"/>
      <c r="O2220" s="544"/>
      <c r="P2220" s="544"/>
      <c r="Q2220" s="544"/>
      <c r="R2220" s="544"/>
      <c r="S2220" s="544"/>
    </row>
    <row r="2221" ht="14.25" customHeight="1">
      <c r="A2221" s="542"/>
      <c r="B2221" s="543"/>
      <c r="C2221" s="543"/>
      <c r="D2221" s="544"/>
      <c r="E2221" s="544"/>
      <c r="F2221" s="544"/>
      <c r="G2221" s="544"/>
      <c r="H2221" s="544"/>
      <c r="I2221" s="543"/>
      <c r="J2221" s="543"/>
      <c r="K2221" s="544"/>
      <c r="L2221" s="543"/>
      <c r="M2221" s="544"/>
      <c r="N2221" s="543"/>
      <c r="O2221" s="544"/>
      <c r="P2221" s="544"/>
      <c r="Q2221" s="544"/>
      <c r="R2221" s="544"/>
      <c r="S2221" s="544"/>
    </row>
    <row r="2222" ht="14.25" customHeight="1">
      <c r="A2222" s="542"/>
      <c r="B2222" s="543"/>
      <c r="C2222" s="543"/>
      <c r="D2222" s="544"/>
      <c r="E2222" s="544"/>
      <c r="F2222" s="544"/>
      <c r="G2222" s="544"/>
      <c r="H2222" s="544"/>
      <c r="I2222" s="543"/>
      <c r="J2222" s="543"/>
      <c r="K2222" s="544"/>
      <c r="L2222" s="543"/>
      <c r="M2222" s="544"/>
      <c r="N2222" s="543"/>
      <c r="O2222" s="544"/>
      <c r="P2222" s="544"/>
      <c r="Q2222" s="544"/>
      <c r="R2222" s="544"/>
      <c r="S2222" s="544"/>
    </row>
    <row r="2223" ht="14.25" customHeight="1">
      <c r="A2223" s="542"/>
      <c r="B2223" s="543"/>
      <c r="C2223" s="543"/>
      <c r="D2223" s="544"/>
      <c r="E2223" s="544"/>
      <c r="F2223" s="544"/>
      <c r="G2223" s="544"/>
      <c r="H2223" s="544"/>
      <c r="I2223" s="543"/>
      <c r="J2223" s="543"/>
      <c r="K2223" s="544"/>
      <c r="L2223" s="543"/>
      <c r="M2223" s="544"/>
      <c r="N2223" s="543"/>
      <c r="O2223" s="544"/>
      <c r="P2223" s="544"/>
      <c r="Q2223" s="544"/>
      <c r="R2223" s="544"/>
      <c r="S2223" s="544"/>
    </row>
    <row r="2224" ht="14.25" customHeight="1">
      <c r="A2224" s="542"/>
      <c r="B2224" s="543"/>
      <c r="C2224" s="543"/>
      <c r="D2224" s="544"/>
      <c r="E2224" s="544"/>
      <c r="F2224" s="544"/>
      <c r="G2224" s="544"/>
      <c r="H2224" s="544"/>
      <c r="I2224" s="543"/>
      <c r="J2224" s="543"/>
      <c r="K2224" s="544"/>
      <c r="L2224" s="543"/>
      <c r="M2224" s="544"/>
      <c r="N2224" s="543"/>
      <c r="O2224" s="544"/>
      <c r="P2224" s="544"/>
      <c r="Q2224" s="544"/>
      <c r="R2224" s="544"/>
      <c r="S2224" s="544"/>
    </row>
    <row r="2225" ht="14.25" customHeight="1">
      <c r="A2225" s="542"/>
      <c r="B2225" s="543"/>
      <c r="C2225" s="543"/>
      <c r="D2225" s="544"/>
      <c r="E2225" s="544"/>
      <c r="F2225" s="544"/>
      <c r="G2225" s="544"/>
      <c r="H2225" s="544"/>
      <c r="I2225" s="543"/>
      <c r="J2225" s="543"/>
      <c r="K2225" s="544"/>
      <c r="L2225" s="543"/>
      <c r="M2225" s="544"/>
      <c r="N2225" s="543"/>
      <c r="O2225" s="544"/>
      <c r="P2225" s="544"/>
      <c r="Q2225" s="544"/>
      <c r="R2225" s="544"/>
      <c r="S2225" s="544"/>
    </row>
    <row r="2226" ht="14.25" customHeight="1">
      <c r="A2226" s="542"/>
      <c r="B2226" s="543"/>
      <c r="C2226" s="543"/>
      <c r="D2226" s="544"/>
      <c r="E2226" s="544"/>
      <c r="F2226" s="544"/>
      <c r="G2226" s="544"/>
      <c r="H2226" s="544"/>
      <c r="I2226" s="543"/>
      <c r="J2226" s="543"/>
      <c r="K2226" s="544"/>
      <c r="L2226" s="543"/>
      <c r="M2226" s="544"/>
      <c r="N2226" s="543"/>
      <c r="O2226" s="544"/>
      <c r="P2226" s="544"/>
      <c r="Q2226" s="544"/>
      <c r="R2226" s="544"/>
      <c r="S2226" s="544"/>
    </row>
    <row r="2227" ht="14.25" customHeight="1">
      <c r="A2227" s="542"/>
      <c r="B2227" s="543"/>
      <c r="C2227" s="543"/>
      <c r="D2227" s="544"/>
      <c r="E2227" s="544"/>
      <c r="F2227" s="544"/>
      <c r="G2227" s="544"/>
      <c r="H2227" s="544"/>
      <c r="I2227" s="543"/>
      <c r="J2227" s="543"/>
      <c r="K2227" s="544"/>
      <c r="L2227" s="543"/>
      <c r="M2227" s="544"/>
      <c r="N2227" s="543"/>
      <c r="O2227" s="544"/>
      <c r="P2227" s="544"/>
      <c r="Q2227" s="544"/>
      <c r="R2227" s="544"/>
      <c r="S2227" s="544"/>
    </row>
    <row r="2228" ht="14.25" customHeight="1">
      <c r="A2228" s="542"/>
      <c r="B2228" s="543"/>
      <c r="C2228" s="543"/>
      <c r="D2228" s="544"/>
      <c r="E2228" s="544"/>
      <c r="F2228" s="544"/>
      <c r="G2228" s="544"/>
      <c r="H2228" s="544"/>
      <c r="I2228" s="543"/>
      <c r="J2228" s="543"/>
      <c r="K2228" s="544"/>
      <c r="L2228" s="543"/>
      <c r="M2228" s="544"/>
      <c r="N2228" s="543"/>
      <c r="O2228" s="544"/>
      <c r="P2228" s="544"/>
      <c r="Q2228" s="544"/>
      <c r="R2228" s="544"/>
      <c r="S2228" s="544"/>
    </row>
    <row r="2229" ht="14.25" customHeight="1">
      <c r="A2229" s="542"/>
      <c r="B2229" s="543"/>
      <c r="C2229" s="543"/>
      <c r="D2229" s="544"/>
      <c r="E2229" s="544"/>
      <c r="F2229" s="544"/>
      <c r="G2229" s="544"/>
      <c r="H2229" s="544"/>
      <c r="I2229" s="543"/>
      <c r="J2229" s="543"/>
      <c r="K2229" s="544"/>
      <c r="L2229" s="543"/>
      <c r="M2229" s="544"/>
      <c r="N2229" s="543"/>
      <c r="O2229" s="544"/>
      <c r="P2229" s="544"/>
      <c r="Q2229" s="544"/>
      <c r="R2229" s="544"/>
      <c r="S2229" s="544"/>
    </row>
    <row r="2230" ht="14.25" customHeight="1">
      <c r="A2230" s="542"/>
      <c r="B2230" s="543"/>
      <c r="C2230" s="543"/>
      <c r="D2230" s="544"/>
      <c r="E2230" s="544"/>
      <c r="F2230" s="544"/>
      <c r="G2230" s="544"/>
      <c r="H2230" s="544"/>
      <c r="I2230" s="543"/>
      <c r="J2230" s="543"/>
      <c r="K2230" s="544"/>
      <c r="L2230" s="543"/>
      <c r="M2230" s="544"/>
      <c r="N2230" s="543"/>
      <c r="O2230" s="544"/>
      <c r="P2230" s="544"/>
      <c r="Q2230" s="544"/>
      <c r="R2230" s="544"/>
      <c r="S2230" s="544"/>
    </row>
    <row r="2231" ht="14.25" customHeight="1">
      <c r="A2231" s="542"/>
      <c r="B2231" s="543"/>
      <c r="C2231" s="543"/>
      <c r="D2231" s="544"/>
      <c r="E2231" s="544"/>
      <c r="F2231" s="544"/>
      <c r="G2231" s="544"/>
      <c r="H2231" s="544"/>
      <c r="I2231" s="543"/>
      <c r="J2231" s="543"/>
      <c r="K2231" s="544"/>
      <c r="L2231" s="543"/>
      <c r="M2231" s="544"/>
      <c r="N2231" s="543"/>
      <c r="O2231" s="544"/>
      <c r="P2231" s="544"/>
      <c r="Q2231" s="544"/>
      <c r="R2231" s="544"/>
      <c r="S2231" s="544"/>
    </row>
    <row r="2232" ht="14.25" customHeight="1">
      <c r="A2232" s="542"/>
      <c r="B2232" s="543"/>
      <c r="C2232" s="543"/>
      <c r="D2232" s="544"/>
      <c r="E2232" s="544"/>
      <c r="F2232" s="544"/>
      <c r="G2232" s="544"/>
      <c r="H2232" s="544"/>
      <c r="I2232" s="543"/>
      <c r="J2232" s="543"/>
      <c r="K2232" s="544"/>
      <c r="L2232" s="543"/>
      <c r="M2232" s="544"/>
      <c r="N2232" s="543"/>
      <c r="O2232" s="544"/>
      <c r="P2232" s="544"/>
      <c r="Q2232" s="544"/>
      <c r="R2232" s="544"/>
      <c r="S2232" s="544"/>
    </row>
    <row r="2233" ht="14.25" customHeight="1">
      <c r="A2233" s="542"/>
      <c r="B2233" s="543"/>
      <c r="C2233" s="543"/>
      <c r="D2233" s="544"/>
      <c r="E2233" s="544"/>
      <c r="F2233" s="544"/>
      <c r="G2233" s="544"/>
      <c r="H2233" s="544"/>
      <c r="I2233" s="543"/>
      <c r="J2233" s="543"/>
      <c r="K2233" s="544"/>
      <c r="L2233" s="543"/>
      <c r="M2233" s="544"/>
      <c r="N2233" s="543"/>
      <c r="O2233" s="544"/>
      <c r="P2233" s="544"/>
      <c r="Q2233" s="544"/>
      <c r="R2233" s="544"/>
      <c r="S2233" s="544"/>
    </row>
    <row r="2234" ht="14.25" customHeight="1">
      <c r="A2234" s="542"/>
      <c r="B2234" s="543"/>
      <c r="C2234" s="543"/>
      <c r="D2234" s="544"/>
      <c r="E2234" s="544"/>
      <c r="F2234" s="544"/>
      <c r="G2234" s="544"/>
      <c r="H2234" s="544"/>
      <c r="I2234" s="543"/>
      <c r="J2234" s="543"/>
      <c r="K2234" s="544"/>
      <c r="L2234" s="543"/>
      <c r="M2234" s="544"/>
      <c r="N2234" s="543"/>
      <c r="O2234" s="544"/>
      <c r="P2234" s="544"/>
      <c r="Q2234" s="544"/>
      <c r="R2234" s="544"/>
      <c r="S2234" s="544"/>
    </row>
    <row r="2235" ht="14.25" customHeight="1">
      <c r="A2235" s="542"/>
      <c r="B2235" s="543"/>
      <c r="C2235" s="543"/>
      <c r="D2235" s="544"/>
      <c r="E2235" s="544"/>
      <c r="F2235" s="544"/>
      <c r="G2235" s="544"/>
      <c r="H2235" s="544"/>
      <c r="I2235" s="543"/>
      <c r="J2235" s="543"/>
      <c r="K2235" s="544"/>
      <c r="L2235" s="543"/>
      <c r="M2235" s="544"/>
      <c r="N2235" s="543"/>
      <c r="O2235" s="544"/>
      <c r="P2235" s="544"/>
      <c r="Q2235" s="544"/>
      <c r="R2235" s="544"/>
      <c r="S2235" s="544"/>
    </row>
    <row r="2236" ht="14.25" customHeight="1">
      <c r="A2236" s="542"/>
      <c r="B2236" s="543"/>
      <c r="C2236" s="543"/>
      <c r="D2236" s="544"/>
      <c r="E2236" s="544"/>
      <c r="F2236" s="544"/>
      <c r="G2236" s="544"/>
      <c r="H2236" s="544"/>
      <c r="I2236" s="543"/>
      <c r="J2236" s="543"/>
      <c r="K2236" s="544"/>
      <c r="L2236" s="543"/>
      <c r="M2236" s="544"/>
      <c r="N2236" s="543"/>
      <c r="O2236" s="544"/>
      <c r="P2236" s="544"/>
      <c r="Q2236" s="544"/>
      <c r="R2236" s="544"/>
      <c r="S2236" s="544"/>
    </row>
    <row r="2237" ht="14.25" customHeight="1">
      <c r="A2237" s="542"/>
      <c r="B2237" s="543"/>
      <c r="C2237" s="543"/>
      <c r="D2237" s="544"/>
      <c r="E2237" s="544"/>
      <c r="F2237" s="544"/>
      <c r="G2237" s="544"/>
      <c r="H2237" s="544"/>
      <c r="I2237" s="543"/>
      <c r="J2237" s="543"/>
      <c r="K2237" s="544"/>
      <c r="L2237" s="543"/>
      <c r="M2237" s="544"/>
      <c r="N2237" s="543"/>
      <c r="O2237" s="544"/>
      <c r="P2237" s="544"/>
      <c r="Q2237" s="544"/>
      <c r="R2237" s="544"/>
      <c r="S2237" s="544"/>
    </row>
    <row r="2238" ht="14.25" customHeight="1">
      <c r="A2238" s="542"/>
      <c r="B2238" s="543"/>
      <c r="C2238" s="543"/>
      <c r="D2238" s="544"/>
      <c r="E2238" s="544"/>
      <c r="F2238" s="544"/>
      <c r="G2238" s="544"/>
      <c r="H2238" s="544"/>
      <c r="I2238" s="543"/>
      <c r="J2238" s="543"/>
      <c r="K2238" s="544"/>
      <c r="L2238" s="543"/>
      <c r="M2238" s="544"/>
      <c r="N2238" s="543"/>
      <c r="O2238" s="544"/>
      <c r="P2238" s="544"/>
      <c r="Q2238" s="544"/>
      <c r="R2238" s="544"/>
      <c r="S2238" s="544"/>
    </row>
    <row r="2239" ht="14.25" customHeight="1">
      <c r="A2239" s="542"/>
      <c r="B2239" s="543"/>
      <c r="C2239" s="543"/>
      <c r="D2239" s="544"/>
      <c r="E2239" s="544"/>
      <c r="F2239" s="544"/>
      <c r="G2239" s="544"/>
      <c r="H2239" s="544"/>
      <c r="I2239" s="543"/>
      <c r="J2239" s="543"/>
      <c r="K2239" s="544"/>
      <c r="L2239" s="543"/>
      <c r="M2239" s="544"/>
      <c r="N2239" s="543"/>
      <c r="O2239" s="544"/>
      <c r="P2239" s="544"/>
      <c r="Q2239" s="544"/>
      <c r="R2239" s="544"/>
      <c r="S2239" s="544"/>
    </row>
    <row r="2240" ht="14.25" customHeight="1">
      <c r="A2240" s="542"/>
      <c r="B2240" s="543"/>
      <c r="C2240" s="543"/>
      <c r="D2240" s="544"/>
      <c r="E2240" s="544"/>
      <c r="F2240" s="544"/>
      <c r="G2240" s="544"/>
      <c r="H2240" s="544"/>
      <c r="I2240" s="543"/>
      <c r="J2240" s="543"/>
      <c r="K2240" s="544"/>
      <c r="L2240" s="543"/>
      <c r="M2240" s="544"/>
      <c r="N2240" s="543"/>
      <c r="O2240" s="544"/>
      <c r="P2240" s="544"/>
      <c r="Q2240" s="544"/>
      <c r="R2240" s="544"/>
      <c r="S2240" s="544"/>
    </row>
    <row r="2241" ht="14.25" customHeight="1">
      <c r="A2241" s="542"/>
      <c r="B2241" s="543"/>
      <c r="C2241" s="543"/>
      <c r="D2241" s="544"/>
      <c r="E2241" s="544"/>
      <c r="F2241" s="544"/>
      <c r="G2241" s="544"/>
      <c r="H2241" s="544"/>
      <c r="I2241" s="543"/>
      <c r="J2241" s="543"/>
      <c r="K2241" s="544"/>
      <c r="L2241" s="543"/>
      <c r="M2241" s="544"/>
      <c r="N2241" s="543"/>
      <c r="O2241" s="544"/>
      <c r="P2241" s="544"/>
      <c r="Q2241" s="544"/>
      <c r="R2241" s="544"/>
      <c r="S2241" s="544"/>
    </row>
    <row r="2242" ht="14.25" customHeight="1">
      <c r="A2242" s="542"/>
      <c r="B2242" s="543"/>
      <c r="C2242" s="543"/>
      <c r="D2242" s="544"/>
      <c r="E2242" s="544"/>
      <c r="F2242" s="544"/>
      <c r="G2242" s="544"/>
      <c r="H2242" s="544"/>
      <c r="I2242" s="543"/>
      <c r="J2242" s="543"/>
      <c r="K2242" s="544"/>
      <c r="L2242" s="543"/>
      <c r="M2242" s="544"/>
      <c r="N2242" s="543"/>
      <c r="O2242" s="544"/>
      <c r="P2242" s="544"/>
      <c r="Q2242" s="544"/>
      <c r="R2242" s="544"/>
      <c r="S2242" s="544"/>
    </row>
    <row r="2243" ht="14.25" customHeight="1">
      <c r="A2243" s="542"/>
      <c r="B2243" s="543"/>
      <c r="C2243" s="543"/>
      <c r="D2243" s="544"/>
      <c r="E2243" s="544"/>
      <c r="F2243" s="544"/>
      <c r="G2243" s="544"/>
      <c r="H2243" s="544"/>
      <c r="I2243" s="543"/>
      <c r="J2243" s="543"/>
      <c r="K2243" s="544"/>
      <c r="L2243" s="543"/>
      <c r="M2243" s="544"/>
      <c r="N2243" s="543"/>
      <c r="O2243" s="544"/>
      <c r="P2243" s="544"/>
      <c r="Q2243" s="544"/>
      <c r="R2243" s="544"/>
      <c r="S2243" s="544"/>
    </row>
    <row r="2244" ht="14.25" customHeight="1">
      <c r="A2244" s="542"/>
      <c r="B2244" s="543"/>
      <c r="C2244" s="543"/>
      <c r="D2244" s="544"/>
      <c r="E2244" s="544"/>
      <c r="F2244" s="544"/>
      <c r="G2244" s="544"/>
      <c r="H2244" s="544"/>
      <c r="I2244" s="543"/>
      <c r="J2244" s="543"/>
      <c r="K2244" s="544"/>
      <c r="L2244" s="543"/>
      <c r="M2244" s="544"/>
      <c r="N2244" s="543"/>
      <c r="O2244" s="544"/>
      <c r="P2244" s="544"/>
      <c r="Q2244" s="544"/>
      <c r="R2244" s="544"/>
      <c r="S2244" s="544"/>
    </row>
    <row r="2245" ht="14.25" customHeight="1">
      <c r="A2245" s="542"/>
      <c r="B2245" s="543"/>
      <c r="C2245" s="543"/>
      <c r="D2245" s="544"/>
      <c r="E2245" s="544"/>
      <c r="F2245" s="544"/>
      <c r="G2245" s="544"/>
      <c r="H2245" s="544"/>
      <c r="I2245" s="543"/>
      <c r="J2245" s="543"/>
      <c r="K2245" s="544"/>
      <c r="L2245" s="543"/>
      <c r="M2245" s="544"/>
      <c r="N2245" s="543"/>
      <c r="O2245" s="544"/>
      <c r="P2245" s="544"/>
      <c r="Q2245" s="544"/>
      <c r="R2245" s="544"/>
      <c r="S2245" s="544"/>
    </row>
    <row r="2246" ht="14.25" customHeight="1">
      <c r="A2246" s="542"/>
      <c r="B2246" s="543"/>
      <c r="C2246" s="543"/>
      <c r="D2246" s="544"/>
      <c r="E2246" s="544"/>
      <c r="F2246" s="544"/>
      <c r="G2246" s="544"/>
      <c r="H2246" s="544"/>
      <c r="I2246" s="543"/>
      <c r="J2246" s="543"/>
      <c r="K2246" s="544"/>
      <c r="L2246" s="543"/>
      <c r="M2246" s="544"/>
      <c r="N2246" s="543"/>
      <c r="O2246" s="544"/>
      <c r="P2246" s="544"/>
      <c r="Q2246" s="544"/>
      <c r="R2246" s="544"/>
      <c r="S2246" s="544"/>
    </row>
    <row r="2247" ht="14.25" customHeight="1">
      <c r="A2247" s="542"/>
      <c r="B2247" s="543"/>
      <c r="C2247" s="543"/>
      <c r="D2247" s="544"/>
      <c r="E2247" s="544"/>
      <c r="F2247" s="544"/>
      <c r="G2247" s="544"/>
      <c r="H2247" s="544"/>
      <c r="I2247" s="543"/>
      <c r="J2247" s="543"/>
      <c r="K2247" s="544"/>
      <c r="L2247" s="543"/>
      <c r="M2247" s="544"/>
      <c r="N2247" s="543"/>
      <c r="O2247" s="544"/>
      <c r="P2247" s="544"/>
      <c r="Q2247" s="544"/>
      <c r="R2247" s="544"/>
      <c r="S2247" s="544"/>
    </row>
    <row r="2248" ht="14.25" customHeight="1">
      <c r="A2248" s="542"/>
      <c r="B2248" s="543"/>
      <c r="C2248" s="543"/>
      <c r="D2248" s="544"/>
      <c r="E2248" s="544"/>
      <c r="F2248" s="544"/>
      <c r="G2248" s="544"/>
      <c r="H2248" s="544"/>
      <c r="I2248" s="543"/>
      <c r="J2248" s="543"/>
      <c r="K2248" s="544"/>
      <c r="L2248" s="543"/>
      <c r="M2248" s="544"/>
      <c r="N2248" s="543"/>
      <c r="O2248" s="544"/>
      <c r="P2248" s="544"/>
      <c r="Q2248" s="544"/>
      <c r="R2248" s="544"/>
      <c r="S2248" s="544"/>
    </row>
    <row r="2249" ht="14.25" customHeight="1">
      <c r="A2249" s="542"/>
      <c r="B2249" s="543"/>
      <c r="C2249" s="543"/>
      <c r="D2249" s="544"/>
      <c r="E2249" s="544"/>
      <c r="F2249" s="544"/>
      <c r="G2249" s="544"/>
      <c r="H2249" s="544"/>
      <c r="I2249" s="543"/>
      <c r="J2249" s="543"/>
      <c r="K2249" s="544"/>
      <c r="L2249" s="543"/>
      <c r="M2249" s="544"/>
      <c r="N2249" s="543"/>
      <c r="O2249" s="544"/>
      <c r="P2249" s="544"/>
      <c r="Q2249" s="544"/>
      <c r="R2249" s="544"/>
      <c r="S2249" s="544"/>
    </row>
    <row r="2250" ht="14.25" customHeight="1">
      <c r="A2250" s="542"/>
      <c r="B2250" s="543"/>
      <c r="C2250" s="543"/>
      <c r="D2250" s="544"/>
      <c r="E2250" s="544"/>
      <c r="F2250" s="544"/>
      <c r="G2250" s="544"/>
      <c r="H2250" s="544"/>
      <c r="I2250" s="543"/>
      <c r="J2250" s="543"/>
      <c r="K2250" s="544"/>
      <c r="L2250" s="543"/>
      <c r="M2250" s="544"/>
      <c r="N2250" s="543"/>
      <c r="O2250" s="544"/>
      <c r="P2250" s="544"/>
      <c r="Q2250" s="544"/>
      <c r="R2250" s="544"/>
      <c r="S2250" s="544"/>
    </row>
    <row r="2251" ht="14.25" customHeight="1">
      <c r="A2251" s="542"/>
      <c r="B2251" s="543"/>
      <c r="C2251" s="543"/>
      <c r="D2251" s="544"/>
      <c r="E2251" s="544"/>
      <c r="F2251" s="544"/>
      <c r="G2251" s="544"/>
      <c r="H2251" s="544"/>
      <c r="I2251" s="543"/>
      <c r="J2251" s="543"/>
      <c r="K2251" s="544"/>
      <c r="L2251" s="543"/>
      <c r="M2251" s="544"/>
      <c r="N2251" s="543"/>
      <c r="O2251" s="544"/>
      <c r="P2251" s="544"/>
      <c r="Q2251" s="544"/>
      <c r="R2251" s="544"/>
      <c r="S2251" s="544"/>
    </row>
    <row r="2252" ht="14.25" customHeight="1">
      <c r="A2252" s="542"/>
      <c r="B2252" s="543"/>
      <c r="C2252" s="543"/>
      <c r="D2252" s="544"/>
      <c r="E2252" s="544"/>
      <c r="F2252" s="544"/>
      <c r="G2252" s="544"/>
      <c r="H2252" s="544"/>
      <c r="I2252" s="543"/>
      <c r="J2252" s="543"/>
      <c r="K2252" s="544"/>
      <c r="L2252" s="543"/>
      <c r="M2252" s="544"/>
      <c r="N2252" s="543"/>
      <c r="O2252" s="544"/>
      <c r="P2252" s="544"/>
      <c r="Q2252" s="544"/>
      <c r="R2252" s="544"/>
      <c r="S2252" s="544"/>
    </row>
    <row r="2253" ht="14.25" customHeight="1">
      <c r="A2253" s="542"/>
      <c r="B2253" s="543"/>
      <c r="C2253" s="543"/>
      <c r="D2253" s="544"/>
      <c r="E2253" s="544"/>
      <c r="F2253" s="544"/>
      <c r="G2253" s="544"/>
      <c r="H2253" s="544"/>
      <c r="I2253" s="543"/>
      <c r="J2253" s="543"/>
      <c r="K2253" s="544"/>
      <c r="L2253" s="543"/>
      <c r="M2253" s="544"/>
      <c r="N2253" s="543"/>
      <c r="O2253" s="544"/>
      <c r="P2253" s="544"/>
      <c r="Q2253" s="544"/>
      <c r="R2253" s="544"/>
      <c r="S2253" s="544"/>
    </row>
    <row r="2254" ht="14.25" customHeight="1">
      <c r="A2254" s="542"/>
      <c r="B2254" s="543"/>
      <c r="C2254" s="543"/>
      <c r="D2254" s="544"/>
      <c r="E2254" s="544"/>
      <c r="F2254" s="544"/>
      <c r="G2254" s="544"/>
      <c r="H2254" s="544"/>
      <c r="I2254" s="543"/>
      <c r="J2254" s="543"/>
      <c r="K2254" s="544"/>
      <c r="L2254" s="543"/>
      <c r="M2254" s="544"/>
      <c r="N2254" s="543"/>
      <c r="O2254" s="544"/>
      <c r="P2254" s="544"/>
      <c r="Q2254" s="544"/>
      <c r="R2254" s="544"/>
      <c r="S2254" s="544"/>
    </row>
    <row r="2255" ht="14.25" customHeight="1">
      <c r="A2255" s="542"/>
      <c r="B2255" s="543"/>
      <c r="C2255" s="543"/>
      <c r="D2255" s="544"/>
      <c r="E2255" s="544"/>
      <c r="F2255" s="544"/>
      <c r="G2255" s="544"/>
      <c r="H2255" s="544"/>
      <c r="I2255" s="543"/>
      <c r="J2255" s="543"/>
      <c r="K2255" s="544"/>
      <c r="L2255" s="543"/>
      <c r="M2255" s="544"/>
      <c r="N2255" s="543"/>
      <c r="O2255" s="544"/>
      <c r="P2255" s="544"/>
      <c r="Q2255" s="544"/>
      <c r="R2255" s="544"/>
      <c r="S2255" s="544"/>
    </row>
    <row r="2256" ht="14.25" customHeight="1">
      <c r="A2256" s="542"/>
      <c r="B2256" s="543"/>
      <c r="C2256" s="543"/>
      <c r="D2256" s="544"/>
      <c r="E2256" s="544"/>
      <c r="F2256" s="544"/>
      <c r="G2256" s="544"/>
      <c r="H2256" s="544"/>
      <c r="I2256" s="543"/>
      <c r="J2256" s="543"/>
      <c r="K2256" s="544"/>
      <c r="L2256" s="543"/>
      <c r="M2256" s="544"/>
      <c r="N2256" s="543"/>
      <c r="O2256" s="544"/>
      <c r="P2256" s="544"/>
      <c r="Q2256" s="544"/>
      <c r="R2256" s="544"/>
      <c r="S2256" s="544"/>
    </row>
    <row r="2257" ht="14.25" customHeight="1">
      <c r="A2257" s="542"/>
      <c r="B2257" s="543"/>
      <c r="C2257" s="543"/>
      <c r="D2257" s="544"/>
      <c r="E2257" s="544"/>
      <c r="F2257" s="544"/>
      <c r="G2257" s="544"/>
      <c r="H2257" s="544"/>
      <c r="I2257" s="543"/>
      <c r="J2257" s="543"/>
      <c r="K2257" s="544"/>
      <c r="L2257" s="543"/>
      <c r="M2257" s="544"/>
      <c r="N2257" s="543"/>
      <c r="O2257" s="544"/>
      <c r="P2257" s="544"/>
      <c r="Q2257" s="544"/>
      <c r="R2257" s="544"/>
      <c r="S2257" s="544"/>
    </row>
    <row r="2258" ht="14.25" customHeight="1">
      <c r="A2258" s="542"/>
      <c r="B2258" s="543"/>
      <c r="C2258" s="543"/>
      <c r="D2258" s="544"/>
      <c r="E2258" s="544"/>
      <c r="F2258" s="544"/>
      <c r="G2258" s="544"/>
      <c r="H2258" s="544"/>
      <c r="I2258" s="543"/>
      <c r="J2258" s="543"/>
      <c r="K2258" s="544"/>
      <c r="L2258" s="543"/>
      <c r="M2258" s="544"/>
      <c r="N2258" s="543"/>
      <c r="O2258" s="544"/>
      <c r="P2258" s="544"/>
      <c r="Q2258" s="544"/>
      <c r="R2258" s="544"/>
      <c r="S2258" s="544"/>
    </row>
    <row r="2259" ht="14.25" customHeight="1">
      <c r="A2259" s="542"/>
      <c r="B2259" s="543"/>
      <c r="C2259" s="543"/>
      <c r="D2259" s="544"/>
      <c r="E2259" s="544"/>
      <c r="F2259" s="544"/>
      <c r="G2259" s="544"/>
      <c r="H2259" s="544"/>
      <c r="I2259" s="543"/>
      <c r="J2259" s="543"/>
      <c r="K2259" s="544"/>
      <c r="L2259" s="543"/>
      <c r="M2259" s="544"/>
      <c r="N2259" s="543"/>
      <c r="O2259" s="544"/>
      <c r="P2259" s="544"/>
      <c r="Q2259" s="544"/>
      <c r="R2259" s="544"/>
      <c r="S2259" s="544"/>
    </row>
    <row r="2260" ht="14.25" customHeight="1">
      <c r="A2260" s="542"/>
      <c r="B2260" s="543"/>
      <c r="C2260" s="543"/>
      <c r="D2260" s="544"/>
      <c r="E2260" s="544"/>
      <c r="F2260" s="544"/>
      <c r="G2260" s="544"/>
      <c r="H2260" s="544"/>
      <c r="I2260" s="543"/>
      <c r="J2260" s="543"/>
      <c r="K2260" s="544"/>
      <c r="L2260" s="543"/>
      <c r="M2260" s="544"/>
      <c r="N2260" s="543"/>
      <c r="O2260" s="544"/>
      <c r="P2260" s="544"/>
      <c r="Q2260" s="544"/>
      <c r="R2260" s="544"/>
      <c r="S2260" s="544"/>
    </row>
    <row r="2261" ht="14.25" customHeight="1">
      <c r="A2261" s="542"/>
      <c r="B2261" s="543"/>
      <c r="C2261" s="543"/>
      <c r="D2261" s="544"/>
      <c r="E2261" s="544"/>
      <c r="F2261" s="544"/>
      <c r="G2261" s="544"/>
      <c r="H2261" s="544"/>
      <c r="I2261" s="543"/>
      <c r="J2261" s="543"/>
      <c r="K2261" s="544"/>
      <c r="L2261" s="543"/>
      <c r="M2261" s="544"/>
      <c r="N2261" s="543"/>
      <c r="O2261" s="544"/>
      <c r="P2261" s="544"/>
      <c r="Q2261" s="544"/>
      <c r="R2261" s="544"/>
      <c r="S2261" s="544"/>
    </row>
    <row r="2262" ht="14.25" customHeight="1">
      <c r="A2262" s="542"/>
      <c r="B2262" s="543"/>
      <c r="C2262" s="543"/>
      <c r="D2262" s="544"/>
      <c r="E2262" s="544"/>
      <c r="F2262" s="544"/>
      <c r="G2262" s="544"/>
      <c r="H2262" s="544"/>
      <c r="I2262" s="543"/>
      <c r="J2262" s="543"/>
      <c r="K2262" s="544"/>
      <c r="L2262" s="543"/>
      <c r="M2262" s="544"/>
      <c r="N2262" s="543"/>
      <c r="O2262" s="544"/>
      <c r="P2262" s="544"/>
      <c r="Q2262" s="544"/>
      <c r="R2262" s="544"/>
      <c r="S2262" s="544"/>
    </row>
    <row r="2263" ht="14.25" customHeight="1">
      <c r="A2263" s="542"/>
      <c r="B2263" s="543"/>
      <c r="C2263" s="543"/>
      <c r="D2263" s="544"/>
      <c r="E2263" s="544"/>
      <c r="F2263" s="544"/>
      <c r="G2263" s="544"/>
      <c r="H2263" s="544"/>
      <c r="I2263" s="543"/>
      <c r="J2263" s="543"/>
      <c r="K2263" s="544"/>
      <c r="L2263" s="543"/>
      <c r="M2263" s="544"/>
      <c r="N2263" s="543"/>
      <c r="O2263" s="544"/>
      <c r="P2263" s="544"/>
      <c r="Q2263" s="544"/>
      <c r="R2263" s="544"/>
      <c r="S2263" s="544"/>
    </row>
    <row r="2264" ht="14.25" customHeight="1">
      <c r="A2264" s="542"/>
      <c r="B2264" s="543"/>
      <c r="C2264" s="543"/>
      <c r="D2264" s="544"/>
      <c r="E2264" s="544"/>
      <c r="F2264" s="544"/>
      <c r="G2264" s="544"/>
      <c r="H2264" s="544"/>
      <c r="I2264" s="543"/>
      <c r="J2264" s="543"/>
      <c r="K2264" s="544"/>
      <c r="L2264" s="543"/>
      <c r="M2264" s="544"/>
      <c r="N2264" s="543"/>
      <c r="O2264" s="544"/>
      <c r="P2264" s="544"/>
      <c r="Q2264" s="544"/>
      <c r="R2264" s="544"/>
      <c r="S2264" s="544"/>
    </row>
    <row r="2265" ht="14.25" customHeight="1">
      <c r="A2265" s="542"/>
      <c r="B2265" s="543"/>
      <c r="C2265" s="543"/>
      <c r="D2265" s="544"/>
      <c r="E2265" s="544"/>
      <c r="F2265" s="544"/>
      <c r="G2265" s="544"/>
      <c r="H2265" s="544"/>
      <c r="I2265" s="543"/>
      <c r="J2265" s="543"/>
      <c r="K2265" s="544"/>
      <c r="L2265" s="543"/>
      <c r="M2265" s="544"/>
      <c r="N2265" s="543"/>
      <c r="O2265" s="544"/>
      <c r="P2265" s="544"/>
      <c r="Q2265" s="544"/>
      <c r="R2265" s="544"/>
      <c r="S2265" s="544"/>
    </row>
    <row r="2266" ht="14.25" customHeight="1">
      <c r="A2266" s="542"/>
      <c r="B2266" s="543"/>
      <c r="C2266" s="543"/>
      <c r="D2266" s="544"/>
      <c r="E2266" s="544"/>
      <c r="F2266" s="544"/>
      <c r="G2266" s="544"/>
      <c r="H2266" s="544"/>
      <c r="I2266" s="543"/>
      <c r="J2266" s="543"/>
      <c r="K2266" s="544"/>
      <c r="L2266" s="543"/>
      <c r="M2266" s="544"/>
      <c r="N2266" s="543"/>
      <c r="O2266" s="544"/>
      <c r="P2266" s="544"/>
      <c r="Q2266" s="544"/>
      <c r="R2266" s="544"/>
      <c r="S2266" s="544"/>
    </row>
    <row r="2267" ht="14.25" customHeight="1">
      <c r="A2267" s="542"/>
      <c r="B2267" s="543"/>
      <c r="C2267" s="543"/>
      <c r="D2267" s="544"/>
      <c r="E2267" s="544"/>
      <c r="F2267" s="544"/>
      <c r="G2267" s="544"/>
      <c r="H2267" s="544"/>
      <c r="I2267" s="543"/>
      <c r="J2267" s="543"/>
      <c r="K2267" s="544"/>
      <c r="L2267" s="543"/>
      <c r="M2267" s="544"/>
      <c r="N2267" s="543"/>
      <c r="O2267" s="544"/>
      <c r="P2267" s="544"/>
      <c r="Q2267" s="544"/>
      <c r="R2267" s="544"/>
      <c r="S2267" s="544"/>
    </row>
    <row r="2268" ht="14.25" customHeight="1">
      <c r="A2268" s="542"/>
      <c r="B2268" s="543"/>
      <c r="C2268" s="543"/>
      <c r="D2268" s="544"/>
      <c r="E2268" s="544"/>
      <c r="F2268" s="544"/>
      <c r="G2268" s="544"/>
      <c r="H2268" s="544"/>
      <c r="I2268" s="543"/>
      <c r="J2268" s="543"/>
      <c r="K2268" s="544"/>
      <c r="L2268" s="543"/>
      <c r="M2268" s="544"/>
      <c r="N2268" s="543"/>
      <c r="O2268" s="544"/>
      <c r="P2268" s="544"/>
      <c r="Q2268" s="544"/>
      <c r="R2268" s="544"/>
      <c r="S2268" s="544"/>
    </row>
    <row r="2269" ht="14.25" customHeight="1">
      <c r="A2269" s="542"/>
      <c r="B2269" s="543"/>
      <c r="C2269" s="543"/>
      <c r="D2269" s="544"/>
      <c r="E2269" s="544"/>
      <c r="F2269" s="544"/>
      <c r="G2269" s="544"/>
      <c r="H2269" s="544"/>
      <c r="I2269" s="543"/>
      <c r="J2269" s="543"/>
      <c r="K2269" s="544"/>
      <c r="L2269" s="543"/>
      <c r="M2269" s="544"/>
      <c r="N2269" s="543"/>
      <c r="O2269" s="544"/>
      <c r="P2269" s="544"/>
      <c r="Q2269" s="544"/>
      <c r="R2269" s="544"/>
      <c r="S2269" s="544"/>
    </row>
    <row r="2270" ht="14.25" customHeight="1">
      <c r="A2270" s="542"/>
      <c r="B2270" s="543"/>
      <c r="C2270" s="543"/>
      <c r="D2270" s="544"/>
      <c r="E2270" s="544"/>
      <c r="F2270" s="544"/>
      <c r="G2270" s="544"/>
      <c r="H2270" s="544"/>
      <c r="I2270" s="543"/>
      <c r="J2270" s="543"/>
      <c r="K2270" s="544"/>
      <c r="L2270" s="543"/>
      <c r="M2270" s="544"/>
      <c r="N2270" s="543"/>
      <c r="O2270" s="544"/>
      <c r="P2270" s="544"/>
      <c r="Q2270" s="544"/>
      <c r="R2270" s="544"/>
      <c r="S2270" s="544"/>
    </row>
    <row r="2271" ht="14.25" customHeight="1">
      <c r="A2271" s="542"/>
      <c r="B2271" s="543"/>
      <c r="C2271" s="543"/>
      <c r="D2271" s="544"/>
      <c r="E2271" s="544"/>
      <c r="F2271" s="544"/>
      <c r="G2271" s="544"/>
      <c r="H2271" s="544"/>
      <c r="I2271" s="543"/>
      <c r="J2271" s="543"/>
      <c r="K2271" s="544"/>
      <c r="L2271" s="543"/>
      <c r="M2271" s="544"/>
      <c r="N2271" s="543"/>
      <c r="O2271" s="544"/>
      <c r="P2271" s="544"/>
      <c r="Q2271" s="544"/>
      <c r="R2271" s="544"/>
      <c r="S2271" s="544"/>
    </row>
    <row r="2272" ht="14.25" customHeight="1">
      <c r="A2272" s="542"/>
      <c r="B2272" s="543"/>
      <c r="C2272" s="543"/>
      <c r="D2272" s="544"/>
      <c r="E2272" s="544"/>
      <c r="F2272" s="544"/>
      <c r="G2272" s="544"/>
      <c r="H2272" s="544"/>
      <c r="I2272" s="543"/>
      <c r="J2272" s="543"/>
      <c r="K2272" s="544"/>
      <c r="L2272" s="543"/>
      <c r="M2272" s="544"/>
      <c r="N2272" s="543"/>
      <c r="O2272" s="544"/>
      <c r="P2272" s="544"/>
      <c r="Q2272" s="544"/>
      <c r="R2272" s="544"/>
      <c r="S2272" s="544"/>
    </row>
    <row r="2273" ht="14.25" customHeight="1">
      <c r="A2273" s="542"/>
      <c r="B2273" s="543"/>
      <c r="C2273" s="543"/>
      <c r="D2273" s="544"/>
      <c r="E2273" s="544"/>
      <c r="F2273" s="544"/>
      <c r="G2273" s="544"/>
      <c r="H2273" s="544"/>
      <c r="I2273" s="543"/>
      <c r="J2273" s="543"/>
      <c r="K2273" s="544"/>
      <c r="L2273" s="543"/>
      <c r="M2273" s="544"/>
      <c r="N2273" s="543"/>
      <c r="O2273" s="544"/>
      <c r="P2273" s="544"/>
      <c r="Q2273" s="544"/>
      <c r="R2273" s="544"/>
      <c r="S2273" s="544"/>
    </row>
    <row r="2274" ht="14.25" customHeight="1">
      <c r="A2274" s="542"/>
      <c r="B2274" s="543"/>
      <c r="C2274" s="543"/>
      <c r="D2274" s="544"/>
      <c r="E2274" s="544"/>
      <c r="F2274" s="544"/>
      <c r="G2274" s="544"/>
      <c r="H2274" s="544"/>
      <c r="I2274" s="543"/>
      <c r="J2274" s="543"/>
      <c r="K2274" s="544"/>
      <c r="L2274" s="543"/>
      <c r="M2274" s="544"/>
      <c r="N2274" s="543"/>
      <c r="O2274" s="544"/>
      <c r="P2274" s="544"/>
      <c r="Q2274" s="544"/>
      <c r="R2274" s="544"/>
      <c r="S2274" s="544"/>
    </row>
    <row r="2275" ht="14.25" customHeight="1">
      <c r="A2275" s="542"/>
      <c r="B2275" s="543"/>
      <c r="C2275" s="543"/>
      <c r="D2275" s="544"/>
      <c r="E2275" s="544"/>
      <c r="F2275" s="544"/>
      <c r="G2275" s="544"/>
      <c r="H2275" s="544"/>
      <c r="I2275" s="543"/>
      <c r="J2275" s="543"/>
      <c r="K2275" s="544"/>
      <c r="L2275" s="543"/>
      <c r="M2275" s="544"/>
      <c r="N2275" s="543"/>
      <c r="O2275" s="544"/>
      <c r="P2275" s="544"/>
      <c r="Q2275" s="544"/>
      <c r="R2275" s="544"/>
      <c r="S2275" s="544"/>
    </row>
    <row r="2276" ht="14.25" customHeight="1">
      <c r="A2276" s="542"/>
      <c r="B2276" s="543"/>
      <c r="C2276" s="543"/>
      <c r="D2276" s="544"/>
      <c r="E2276" s="544"/>
      <c r="F2276" s="544"/>
      <c r="G2276" s="544"/>
      <c r="H2276" s="544"/>
      <c r="I2276" s="543"/>
      <c r="J2276" s="543"/>
      <c r="K2276" s="544"/>
      <c r="L2276" s="543"/>
      <c r="M2276" s="544"/>
      <c r="N2276" s="543"/>
      <c r="O2276" s="544"/>
      <c r="P2276" s="544"/>
      <c r="Q2276" s="544"/>
      <c r="R2276" s="544"/>
      <c r="S2276" s="544"/>
    </row>
    <row r="2277" ht="14.25" customHeight="1">
      <c r="A2277" s="542"/>
      <c r="B2277" s="543"/>
      <c r="C2277" s="543"/>
      <c r="D2277" s="544"/>
      <c r="E2277" s="544"/>
      <c r="F2277" s="544"/>
      <c r="G2277" s="544"/>
      <c r="H2277" s="544"/>
      <c r="I2277" s="543"/>
      <c r="J2277" s="543"/>
      <c r="K2277" s="544"/>
      <c r="L2277" s="543"/>
      <c r="M2277" s="544"/>
      <c r="N2277" s="543"/>
      <c r="O2277" s="544"/>
      <c r="P2277" s="544"/>
      <c r="Q2277" s="544"/>
      <c r="R2277" s="544"/>
      <c r="S2277" s="544"/>
    </row>
    <row r="2278" ht="14.25" customHeight="1">
      <c r="A2278" s="542"/>
      <c r="B2278" s="543"/>
      <c r="C2278" s="543"/>
      <c r="D2278" s="544"/>
      <c r="E2278" s="544"/>
      <c r="F2278" s="544"/>
      <c r="G2278" s="544"/>
      <c r="H2278" s="544"/>
      <c r="I2278" s="543"/>
      <c r="J2278" s="543"/>
      <c r="K2278" s="544"/>
      <c r="L2278" s="543"/>
      <c r="M2278" s="544"/>
      <c r="N2278" s="543"/>
      <c r="O2278" s="544"/>
      <c r="P2278" s="544"/>
      <c r="Q2278" s="544"/>
      <c r="R2278" s="544"/>
      <c r="S2278" s="544"/>
    </row>
    <row r="2279" ht="14.25" customHeight="1">
      <c r="A2279" s="542"/>
      <c r="B2279" s="543"/>
      <c r="C2279" s="543"/>
      <c r="D2279" s="544"/>
      <c r="E2279" s="544"/>
      <c r="F2279" s="544"/>
      <c r="G2279" s="544"/>
      <c r="H2279" s="544"/>
      <c r="I2279" s="543"/>
      <c r="J2279" s="543"/>
      <c r="K2279" s="544"/>
      <c r="L2279" s="543"/>
      <c r="M2279" s="544"/>
      <c r="N2279" s="543"/>
      <c r="O2279" s="544"/>
      <c r="P2279" s="544"/>
      <c r="Q2279" s="544"/>
      <c r="R2279" s="544"/>
      <c r="S2279" s="544"/>
    </row>
    <row r="2280" ht="14.25" customHeight="1">
      <c r="A2280" s="542"/>
      <c r="B2280" s="543"/>
      <c r="C2280" s="543"/>
      <c r="D2280" s="544"/>
      <c r="E2280" s="544"/>
      <c r="F2280" s="544"/>
      <c r="G2280" s="544"/>
      <c r="H2280" s="544"/>
      <c r="I2280" s="543"/>
      <c r="J2280" s="543"/>
      <c r="K2280" s="544"/>
      <c r="L2280" s="543"/>
      <c r="M2280" s="544"/>
      <c r="N2280" s="543"/>
      <c r="O2280" s="544"/>
      <c r="P2280" s="544"/>
      <c r="Q2280" s="544"/>
      <c r="R2280" s="544"/>
      <c r="S2280" s="544"/>
    </row>
    <row r="2281" ht="14.25" customHeight="1">
      <c r="A2281" s="542"/>
      <c r="B2281" s="543"/>
      <c r="C2281" s="543"/>
      <c r="D2281" s="544"/>
      <c r="E2281" s="544"/>
      <c r="F2281" s="544"/>
      <c r="G2281" s="544"/>
      <c r="H2281" s="544"/>
      <c r="I2281" s="543"/>
      <c r="J2281" s="543"/>
      <c r="K2281" s="544"/>
      <c r="L2281" s="543"/>
      <c r="M2281" s="544"/>
      <c r="N2281" s="543"/>
      <c r="O2281" s="544"/>
      <c r="P2281" s="544"/>
      <c r="Q2281" s="544"/>
      <c r="R2281" s="544"/>
      <c r="S2281" s="544"/>
    </row>
    <row r="2282" ht="14.25" customHeight="1">
      <c r="A2282" s="542"/>
      <c r="B2282" s="543"/>
      <c r="C2282" s="543"/>
      <c r="D2282" s="544"/>
      <c r="E2282" s="544"/>
      <c r="F2282" s="544"/>
      <c r="G2282" s="544"/>
      <c r="H2282" s="544"/>
      <c r="I2282" s="543"/>
      <c r="J2282" s="543"/>
      <c r="K2282" s="544"/>
      <c r="L2282" s="543"/>
      <c r="M2282" s="544"/>
      <c r="N2282" s="543"/>
      <c r="O2282" s="544"/>
      <c r="P2282" s="544"/>
      <c r="Q2282" s="544"/>
      <c r="R2282" s="544"/>
      <c r="S2282" s="544"/>
    </row>
    <row r="2283" ht="14.25" customHeight="1">
      <c r="A2283" s="542"/>
      <c r="B2283" s="543"/>
      <c r="C2283" s="543"/>
      <c r="D2283" s="544"/>
      <c r="E2283" s="544"/>
      <c r="F2283" s="544"/>
      <c r="G2283" s="544"/>
      <c r="H2283" s="544"/>
      <c r="I2283" s="543"/>
      <c r="J2283" s="543"/>
      <c r="K2283" s="544"/>
      <c r="L2283" s="543"/>
      <c r="M2283" s="544"/>
      <c r="N2283" s="543"/>
      <c r="O2283" s="544"/>
      <c r="P2283" s="544"/>
      <c r="Q2283" s="544"/>
      <c r="R2283" s="544"/>
      <c r="S2283" s="544"/>
    </row>
    <row r="2284" ht="14.25" customHeight="1">
      <c r="A2284" s="542"/>
      <c r="B2284" s="543"/>
      <c r="C2284" s="543"/>
      <c r="D2284" s="544"/>
      <c r="E2284" s="544"/>
      <c r="F2284" s="544"/>
      <c r="G2284" s="544"/>
      <c r="H2284" s="544"/>
      <c r="I2284" s="543"/>
      <c r="J2284" s="543"/>
      <c r="K2284" s="544"/>
      <c r="L2284" s="543"/>
      <c r="M2284" s="544"/>
      <c r="N2284" s="543"/>
      <c r="O2284" s="544"/>
      <c r="P2284" s="544"/>
      <c r="Q2284" s="544"/>
      <c r="R2284" s="544"/>
      <c r="S2284" s="544"/>
    </row>
    <row r="2285" ht="14.25" customHeight="1">
      <c r="A2285" s="542"/>
      <c r="B2285" s="543"/>
      <c r="C2285" s="543"/>
      <c r="D2285" s="544"/>
      <c r="E2285" s="544"/>
      <c r="F2285" s="544"/>
      <c r="G2285" s="544"/>
      <c r="H2285" s="544"/>
      <c r="I2285" s="543"/>
      <c r="J2285" s="543"/>
      <c r="K2285" s="544"/>
      <c r="L2285" s="543"/>
      <c r="M2285" s="544"/>
      <c r="N2285" s="543"/>
      <c r="O2285" s="544"/>
      <c r="P2285" s="544"/>
      <c r="Q2285" s="544"/>
      <c r="R2285" s="544"/>
      <c r="S2285" s="544"/>
    </row>
    <row r="2286" ht="14.25" customHeight="1">
      <c r="A2286" s="542"/>
      <c r="B2286" s="543"/>
      <c r="C2286" s="543"/>
      <c r="D2286" s="544"/>
      <c r="E2286" s="544"/>
      <c r="F2286" s="544"/>
      <c r="G2286" s="544"/>
      <c r="H2286" s="544"/>
      <c r="I2286" s="543"/>
      <c r="J2286" s="543"/>
      <c r="K2286" s="544"/>
      <c r="L2286" s="543"/>
      <c r="M2286" s="544"/>
      <c r="N2286" s="543"/>
      <c r="O2286" s="544"/>
      <c r="P2286" s="544"/>
      <c r="Q2286" s="544"/>
      <c r="R2286" s="544"/>
      <c r="S2286" s="544"/>
    </row>
    <row r="2287" ht="14.25" customHeight="1">
      <c r="A2287" s="542"/>
      <c r="B2287" s="543"/>
      <c r="C2287" s="543"/>
      <c r="D2287" s="544"/>
      <c r="E2287" s="544"/>
      <c r="F2287" s="544"/>
      <c r="G2287" s="544"/>
      <c r="H2287" s="544"/>
      <c r="I2287" s="543"/>
      <c r="J2287" s="543"/>
      <c r="K2287" s="544"/>
      <c r="L2287" s="543"/>
      <c r="M2287" s="544"/>
      <c r="N2287" s="543"/>
      <c r="O2287" s="544"/>
      <c r="P2287" s="544"/>
      <c r="Q2287" s="544"/>
      <c r="R2287" s="544"/>
      <c r="S2287" s="544"/>
    </row>
    <row r="2288" ht="14.25" customHeight="1">
      <c r="A2288" s="542"/>
      <c r="B2288" s="543"/>
      <c r="C2288" s="543"/>
      <c r="D2288" s="544"/>
      <c r="E2288" s="544"/>
      <c r="F2288" s="544"/>
      <c r="G2288" s="544"/>
      <c r="H2288" s="544"/>
      <c r="I2288" s="543"/>
      <c r="J2288" s="543"/>
      <c r="K2288" s="544"/>
      <c r="L2288" s="543"/>
      <c r="M2288" s="544"/>
      <c r="N2288" s="543"/>
      <c r="O2288" s="544"/>
      <c r="P2288" s="544"/>
      <c r="Q2288" s="544"/>
      <c r="R2288" s="544"/>
      <c r="S2288" s="544"/>
    </row>
    <row r="2289" ht="14.25" customHeight="1">
      <c r="A2289" s="542"/>
      <c r="B2289" s="543"/>
      <c r="C2289" s="543"/>
      <c r="D2289" s="544"/>
      <c r="E2289" s="544"/>
      <c r="F2289" s="544"/>
      <c r="G2289" s="544"/>
      <c r="H2289" s="544"/>
      <c r="I2289" s="543"/>
      <c r="J2289" s="543"/>
      <c r="K2289" s="544"/>
      <c r="L2289" s="543"/>
      <c r="M2289" s="544"/>
      <c r="N2289" s="543"/>
      <c r="O2289" s="544"/>
      <c r="P2289" s="544"/>
      <c r="Q2289" s="544"/>
      <c r="R2289" s="544"/>
      <c r="S2289" s="544"/>
    </row>
    <row r="2290" ht="14.25" customHeight="1">
      <c r="A2290" s="542"/>
      <c r="B2290" s="543"/>
      <c r="C2290" s="543"/>
      <c r="D2290" s="544"/>
      <c r="E2290" s="544"/>
      <c r="F2290" s="544"/>
      <c r="G2290" s="544"/>
      <c r="H2290" s="544"/>
      <c r="I2290" s="543"/>
      <c r="J2290" s="543"/>
      <c r="K2290" s="544"/>
      <c r="L2290" s="543"/>
      <c r="M2290" s="544"/>
      <c r="N2290" s="543"/>
      <c r="O2290" s="544"/>
      <c r="P2290" s="544"/>
      <c r="Q2290" s="544"/>
      <c r="R2290" s="544"/>
      <c r="S2290" s="544"/>
    </row>
    <row r="2291" ht="14.25" customHeight="1">
      <c r="A2291" s="542"/>
      <c r="B2291" s="543"/>
      <c r="C2291" s="543"/>
      <c r="D2291" s="544"/>
      <c r="E2291" s="544"/>
      <c r="F2291" s="544"/>
      <c r="G2291" s="544"/>
      <c r="H2291" s="544"/>
      <c r="I2291" s="543"/>
      <c r="J2291" s="543"/>
      <c r="K2291" s="544"/>
      <c r="L2291" s="543"/>
      <c r="M2291" s="544"/>
      <c r="N2291" s="543"/>
      <c r="O2291" s="544"/>
      <c r="P2291" s="544"/>
      <c r="Q2291" s="544"/>
      <c r="R2291" s="544"/>
      <c r="S2291" s="544"/>
    </row>
    <row r="2292" ht="14.25" customHeight="1">
      <c r="A2292" s="542"/>
      <c r="B2292" s="543"/>
      <c r="C2292" s="543"/>
      <c r="D2292" s="544"/>
      <c r="E2292" s="544"/>
      <c r="F2292" s="544"/>
      <c r="G2292" s="544"/>
      <c r="H2292" s="544"/>
      <c r="I2292" s="543"/>
      <c r="J2292" s="543"/>
      <c r="K2292" s="544"/>
      <c r="L2292" s="543"/>
      <c r="M2292" s="544"/>
      <c r="N2292" s="543"/>
      <c r="O2292" s="544"/>
      <c r="P2292" s="544"/>
      <c r="Q2292" s="544"/>
      <c r="R2292" s="544"/>
      <c r="S2292" s="544"/>
    </row>
    <row r="2293" ht="14.25" customHeight="1">
      <c r="A2293" s="542"/>
      <c r="B2293" s="543"/>
      <c r="C2293" s="543"/>
      <c r="D2293" s="544"/>
      <c r="E2293" s="544"/>
      <c r="F2293" s="544"/>
      <c r="G2293" s="544"/>
      <c r="H2293" s="544"/>
      <c r="I2293" s="543"/>
      <c r="J2293" s="543"/>
      <c r="K2293" s="544"/>
      <c r="L2293" s="543"/>
      <c r="M2293" s="544"/>
      <c r="N2293" s="543"/>
      <c r="O2293" s="544"/>
      <c r="P2293" s="544"/>
      <c r="Q2293" s="544"/>
      <c r="R2293" s="544"/>
      <c r="S2293" s="544"/>
    </row>
    <row r="2294" ht="14.25" customHeight="1">
      <c r="A2294" s="542"/>
      <c r="B2294" s="543"/>
      <c r="C2294" s="543"/>
      <c r="D2294" s="544"/>
      <c r="E2294" s="544"/>
      <c r="F2294" s="544"/>
      <c r="G2294" s="544"/>
      <c r="H2294" s="544"/>
      <c r="I2294" s="543"/>
      <c r="J2294" s="543"/>
      <c r="K2294" s="544"/>
      <c r="L2294" s="543"/>
      <c r="M2294" s="544"/>
      <c r="N2294" s="543"/>
      <c r="O2294" s="544"/>
      <c r="P2294" s="544"/>
      <c r="Q2294" s="544"/>
      <c r="R2294" s="544"/>
      <c r="S2294" s="544"/>
    </row>
    <row r="2295" ht="14.25" customHeight="1">
      <c r="A2295" s="542"/>
      <c r="B2295" s="543"/>
      <c r="C2295" s="543"/>
      <c r="D2295" s="544"/>
      <c r="E2295" s="544"/>
      <c r="F2295" s="544"/>
      <c r="G2295" s="544"/>
      <c r="H2295" s="544"/>
      <c r="I2295" s="543"/>
      <c r="J2295" s="543"/>
      <c r="K2295" s="544"/>
      <c r="L2295" s="543"/>
      <c r="M2295" s="544"/>
      <c r="N2295" s="543"/>
      <c r="O2295" s="544"/>
      <c r="P2295" s="544"/>
      <c r="Q2295" s="544"/>
      <c r="R2295" s="544"/>
      <c r="S2295" s="544"/>
    </row>
    <row r="2296" ht="14.25" customHeight="1">
      <c r="A2296" s="542"/>
      <c r="B2296" s="543"/>
      <c r="C2296" s="543"/>
      <c r="D2296" s="544"/>
      <c r="E2296" s="544"/>
      <c r="F2296" s="544"/>
      <c r="G2296" s="544"/>
      <c r="H2296" s="544"/>
      <c r="I2296" s="543"/>
      <c r="J2296" s="543"/>
      <c r="K2296" s="544"/>
      <c r="L2296" s="543"/>
      <c r="M2296" s="544"/>
      <c r="N2296" s="543"/>
      <c r="O2296" s="544"/>
      <c r="P2296" s="544"/>
      <c r="Q2296" s="544"/>
      <c r="R2296" s="544"/>
      <c r="S2296" s="544"/>
    </row>
    <row r="2297" ht="14.25" customHeight="1">
      <c r="A2297" s="542"/>
      <c r="B2297" s="543"/>
      <c r="C2297" s="543"/>
      <c r="D2297" s="544"/>
      <c r="E2297" s="544"/>
      <c r="F2297" s="544"/>
      <c r="G2297" s="544"/>
      <c r="H2297" s="544"/>
      <c r="I2297" s="543"/>
      <c r="J2297" s="543"/>
      <c r="K2297" s="544"/>
      <c r="L2297" s="543"/>
      <c r="M2297" s="544"/>
      <c r="N2297" s="543"/>
      <c r="O2297" s="544"/>
      <c r="P2297" s="544"/>
      <c r="Q2297" s="544"/>
      <c r="R2297" s="544"/>
      <c r="S2297" s="544"/>
    </row>
    <row r="2298" ht="14.25" customHeight="1">
      <c r="A2298" s="542"/>
      <c r="B2298" s="543"/>
      <c r="C2298" s="543"/>
      <c r="D2298" s="544"/>
      <c r="E2298" s="544"/>
      <c r="F2298" s="544"/>
      <c r="G2298" s="544"/>
      <c r="H2298" s="544"/>
      <c r="I2298" s="543"/>
      <c r="J2298" s="543"/>
      <c r="K2298" s="544"/>
      <c r="L2298" s="543"/>
      <c r="M2298" s="544"/>
      <c r="N2298" s="543"/>
      <c r="O2298" s="544"/>
      <c r="P2298" s="544"/>
      <c r="Q2298" s="544"/>
      <c r="R2298" s="544"/>
      <c r="S2298" s="544"/>
    </row>
    <row r="2299" ht="14.25" customHeight="1">
      <c r="A2299" s="542"/>
      <c r="B2299" s="543"/>
      <c r="C2299" s="543"/>
      <c r="D2299" s="544"/>
      <c r="E2299" s="544"/>
      <c r="F2299" s="544"/>
      <c r="G2299" s="544"/>
      <c r="H2299" s="544"/>
      <c r="I2299" s="543"/>
      <c r="J2299" s="543"/>
      <c r="K2299" s="544"/>
      <c r="L2299" s="543"/>
      <c r="M2299" s="544"/>
      <c r="N2299" s="543"/>
      <c r="O2299" s="544"/>
      <c r="P2299" s="544"/>
      <c r="Q2299" s="544"/>
      <c r="R2299" s="544"/>
      <c r="S2299" s="544"/>
    </row>
    <row r="2300" ht="14.25" customHeight="1">
      <c r="A2300" s="542"/>
      <c r="B2300" s="543"/>
      <c r="C2300" s="543"/>
      <c r="D2300" s="544"/>
      <c r="E2300" s="544"/>
      <c r="F2300" s="544"/>
      <c r="G2300" s="544"/>
      <c r="H2300" s="544"/>
      <c r="I2300" s="543"/>
      <c r="J2300" s="543"/>
      <c r="K2300" s="544"/>
      <c r="L2300" s="543"/>
      <c r="M2300" s="544"/>
      <c r="N2300" s="543"/>
      <c r="O2300" s="544"/>
      <c r="P2300" s="544"/>
      <c r="Q2300" s="544"/>
      <c r="R2300" s="544"/>
      <c r="S2300" s="544"/>
    </row>
    <row r="2301" ht="14.25" customHeight="1">
      <c r="A2301" s="542"/>
      <c r="B2301" s="543"/>
      <c r="C2301" s="543"/>
      <c r="D2301" s="544"/>
      <c r="E2301" s="544"/>
      <c r="F2301" s="544"/>
      <c r="G2301" s="544"/>
      <c r="H2301" s="544"/>
      <c r="I2301" s="543"/>
      <c r="J2301" s="543"/>
      <c r="K2301" s="544"/>
      <c r="L2301" s="543"/>
      <c r="M2301" s="544"/>
      <c r="N2301" s="543"/>
      <c r="O2301" s="544"/>
      <c r="P2301" s="544"/>
      <c r="Q2301" s="544"/>
      <c r="R2301" s="544"/>
      <c r="S2301" s="544"/>
    </row>
    <row r="2302" ht="14.25" customHeight="1">
      <c r="A2302" s="542"/>
      <c r="B2302" s="543"/>
      <c r="C2302" s="543"/>
      <c r="D2302" s="544"/>
      <c r="E2302" s="544"/>
      <c r="F2302" s="544"/>
      <c r="G2302" s="544"/>
      <c r="H2302" s="544"/>
      <c r="I2302" s="543"/>
      <c r="J2302" s="543"/>
      <c r="K2302" s="544"/>
      <c r="L2302" s="543"/>
      <c r="M2302" s="544"/>
      <c r="N2302" s="543"/>
      <c r="O2302" s="544"/>
      <c r="P2302" s="544"/>
      <c r="Q2302" s="544"/>
      <c r="R2302" s="544"/>
      <c r="S2302" s="544"/>
    </row>
    <row r="2303" ht="14.25" customHeight="1">
      <c r="A2303" s="542"/>
      <c r="B2303" s="543"/>
      <c r="C2303" s="543"/>
      <c r="D2303" s="544"/>
      <c r="E2303" s="544"/>
      <c r="F2303" s="544"/>
      <c r="G2303" s="544"/>
      <c r="H2303" s="544"/>
      <c r="I2303" s="543"/>
      <c r="J2303" s="543"/>
      <c r="K2303" s="544"/>
      <c r="L2303" s="543"/>
      <c r="M2303" s="544"/>
      <c r="N2303" s="543"/>
      <c r="O2303" s="544"/>
      <c r="P2303" s="544"/>
      <c r="Q2303" s="544"/>
      <c r="R2303" s="544"/>
      <c r="S2303" s="544"/>
    </row>
    <row r="2304" ht="14.25" customHeight="1">
      <c r="A2304" s="542"/>
      <c r="B2304" s="543"/>
      <c r="C2304" s="543"/>
      <c r="D2304" s="544"/>
      <c r="E2304" s="544"/>
      <c r="F2304" s="544"/>
      <c r="G2304" s="544"/>
      <c r="H2304" s="544"/>
      <c r="I2304" s="543"/>
      <c r="J2304" s="543"/>
      <c r="K2304" s="544"/>
      <c r="L2304" s="543"/>
      <c r="M2304" s="544"/>
      <c r="N2304" s="543"/>
      <c r="O2304" s="544"/>
      <c r="P2304" s="544"/>
      <c r="Q2304" s="544"/>
      <c r="R2304" s="544"/>
      <c r="S2304" s="544"/>
    </row>
    <row r="2305" ht="14.25" customHeight="1">
      <c r="A2305" s="542"/>
      <c r="B2305" s="543"/>
      <c r="C2305" s="543"/>
      <c r="D2305" s="544"/>
      <c r="E2305" s="544"/>
      <c r="F2305" s="544"/>
      <c r="G2305" s="544"/>
      <c r="H2305" s="544"/>
      <c r="I2305" s="543"/>
      <c r="J2305" s="543"/>
      <c r="K2305" s="544"/>
      <c r="L2305" s="543"/>
      <c r="M2305" s="544"/>
      <c r="N2305" s="543"/>
      <c r="O2305" s="544"/>
      <c r="P2305" s="544"/>
      <c r="Q2305" s="544"/>
      <c r="R2305" s="544"/>
      <c r="S2305" s="544"/>
    </row>
    <row r="2306" ht="14.25" customHeight="1">
      <c r="A2306" s="542"/>
      <c r="B2306" s="543"/>
      <c r="C2306" s="543"/>
      <c r="D2306" s="544"/>
      <c r="E2306" s="544"/>
      <c r="F2306" s="544"/>
      <c r="G2306" s="544"/>
      <c r="H2306" s="544"/>
      <c r="I2306" s="543"/>
      <c r="J2306" s="543"/>
      <c r="K2306" s="544"/>
      <c r="L2306" s="543"/>
      <c r="M2306" s="544"/>
      <c r="N2306" s="543"/>
      <c r="O2306" s="544"/>
      <c r="P2306" s="544"/>
      <c r="Q2306" s="544"/>
      <c r="R2306" s="544"/>
      <c r="S2306" s="544"/>
    </row>
    <row r="2307" ht="14.25" customHeight="1">
      <c r="A2307" s="542"/>
      <c r="B2307" s="543"/>
      <c r="C2307" s="543"/>
      <c r="D2307" s="544"/>
      <c r="E2307" s="544"/>
      <c r="F2307" s="544"/>
      <c r="G2307" s="544"/>
      <c r="H2307" s="544"/>
      <c r="I2307" s="543"/>
      <c r="J2307" s="543"/>
      <c r="K2307" s="544"/>
      <c r="L2307" s="543"/>
      <c r="M2307" s="544"/>
      <c r="N2307" s="543"/>
      <c r="O2307" s="544"/>
      <c r="P2307" s="544"/>
      <c r="Q2307" s="544"/>
      <c r="R2307" s="544"/>
      <c r="S2307" s="544"/>
    </row>
    <row r="2308" ht="14.25" customHeight="1">
      <c r="A2308" s="542"/>
      <c r="B2308" s="543"/>
      <c r="C2308" s="543"/>
      <c r="D2308" s="544"/>
      <c r="E2308" s="544"/>
      <c r="F2308" s="544"/>
      <c r="G2308" s="544"/>
      <c r="H2308" s="544"/>
      <c r="I2308" s="543"/>
      <c r="J2308" s="543"/>
      <c r="K2308" s="544"/>
      <c r="L2308" s="543"/>
      <c r="M2308" s="544"/>
      <c r="N2308" s="543"/>
      <c r="O2308" s="544"/>
      <c r="P2308" s="544"/>
      <c r="Q2308" s="544"/>
      <c r="R2308" s="544"/>
      <c r="S2308" s="544"/>
    </row>
    <row r="2309" ht="14.25" customHeight="1">
      <c r="A2309" s="542"/>
      <c r="B2309" s="543"/>
      <c r="C2309" s="543"/>
      <c r="D2309" s="544"/>
      <c r="E2309" s="544"/>
      <c r="F2309" s="544"/>
      <c r="G2309" s="544"/>
      <c r="H2309" s="544"/>
      <c r="I2309" s="543"/>
      <c r="J2309" s="543"/>
      <c r="K2309" s="544"/>
      <c r="L2309" s="543"/>
      <c r="M2309" s="544"/>
      <c r="N2309" s="543"/>
      <c r="O2309" s="544"/>
      <c r="P2309" s="544"/>
      <c r="Q2309" s="544"/>
      <c r="R2309" s="544"/>
      <c r="S2309" s="544"/>
    </row>
    <row r="2310" ht="14.25" customHeight="1">
      <c r="A2310" s="542"/>
      <c r="B2310" s="543"/>
      <c r="C2310" s="543"/>
      <c r="D2310" s="544"/>
      <c r="E2310" s="544"/>
      <c r="F2310" s="544"/>
      <c r="G2310" s="544"/>
      <c r="H2310" s="544"/>
      <c r="I2310" s="543"/>
      <c r="J2310" s="543"/>
      <c r="K2310" s="544"/>
      <c r="L2310" s="543"/>
      <c r="M2310" s="544"/>
      <c r="N2310" s="543"/>
      <c r="O2310" s="544"/>
      <c r="P2310" s="544"/>
      <c r="Q2310" s="544"/>
      <c r="R2310" s="544"/>
      <c r="S2310" s="544"/>
    </row>
    <row r="2311" ht="14.25" customHeight="1">
      <c r="A2311" s="542"/>
      <c r="B2311" s="543"/>
      <c r="C2311" s="543"/>
      <c r="D2311" s="544"/>
      <c r="E2311" s="544"/>
      <c r="F2311" s="544"/>
      <c r="G2311" s="544"/>
      <c r="H2311" s="544"/>
      <c r="I2311" s="543"/>
      <c r="J2311" s="543"/>
      <c r="K2311" s="544"/>
      <c r="L2311" s="543"/>
      <c r="M2311" s="544"/>
      <c r="N2311" s="543"/>
      <c r="O2311" s="544"/>
      <c r="P2311" s="544"/>
      <c r="Q2311" s="544"/>
      <c r="R2311" s="544"/>
      <c r="S2311" s="544"/>
    </row>
    <row r="2312" ht="14.25" customHeight="1">
      <c r="A2312" s="542"/>
      <c r="B2312" s="543"/>
      <c r="C2312" s="543"/>
      <c r="D2312" s="544"/>
      <c r="E2312" s="544"/>
      <c r="F2312" s="544"/>
      <c r="G2312" s="544"/>
      <c r="H2312" s="544"/>
      <c r="I2312" s="543"/>
      <c r="J2312" s="543"/>
      <c r="K2312" s="544"/>
      <c r="L2312" s="543"/>
      <c r="M2312" s="544"/>
      <c r="N2312" s="543"/>
      <c r="O2312" s="544"/>
      <c r="P2312" s="544"/>
      <c r="Q2312" s="544"/>
      <c r="R2312" s="544"/>
      <c r="S2312" s="544"/>
    </row>
    <row r="2313" ht="14.25" customHeight="1">
      <c r="A2313" s="542"/>
      <c r="B2313" s="543"/>
      <c r="C2313" s="543"/>
      <c r="D2313" s="544"/>
      <c r="E2313" s="544"/>
      <c r="F2313" s="544"/>
      <c r="G2313" s="544"/>
      <c r="H2313" s="544"/>
      <c r="I2313" s="543"/>
      <c r="J2313" s="543"/>
      <c r="K2313" s="544"/>
      <c r="L2313" s="543"/>
      <c r="M2313" s="544"/>
      <c r="N2313" s="543"/>
      <c r="O2313" s="544"/>
      <c r="P2313" s="544"/>
      <c r="Q2313" s="544"/>
      <c r="R2313" s="544"/>
      <c r="S2313" s="544"/>
    </row>
    <row r="2314" ht="14.25" customHeight="1">
      <c r="A2314" s="542"/>
      <c r="B2314" s="543"/>
      <c r="C2314" s="543"/>
      <c r="D2314" s="544"/>
      <c r="E2314" s="544"/>
      <c r="F2314" s="544"/>
      <c r="G2314" s="544"/>
      <c r="H2314" s="544"/>
      <c r="I2314" s="543"/>
      <c r="J2314" s="543"/>
      <c r="K2314" s="544"/>
      <c r="L2314" s="543"/>
      <c r="M2314" s="544"/>
      <c r="N2314" s="543"/>
      <c r="O2314" s="544"/>
      <c r="P2314" s="544"/>
      <c r="Q2314" s="544"/>
      <c r="R2314" s="544"/>
      <c r="S2314" s="544"/>
    </row>
    <row r="2315" ht="14.25" customHeight="1">
      <c r="A2315" s="542"/>
      <c r="B2315" s="543"/>
      <c r="C2315" s="543"/>
      <c r="D2315" s="544"/>
      <c r="E2315" s="544"/>
      <c r="F2315" s="544"/>
      <c r="G2315" s="544"/>
      <c r="H2315" s="544"/>
      <c r="I2315" s="543"/>
      <c r="J2315" s="543"/>
      <c r="K2315" s="544"/>
      <c r="L2315" s="543"/>
      <c r="M2315" s="544"/>
      <c r="N2315" s="543"/>
      <c r="O2315" s="544"/>
      <c r="P2315" s="544"/>
      <c r="Q2315" s="544"/>
      <c r="R2315" s="544"/>
      <c r="S2315" s="544"/>
    </row>
    <row r="2316" ht="14.25" customHeight="1">
      <c r="A2316" s="542"/>
      <c r="B2316" s="543"/>
      <c r="C2316" s="543"/>
      <c r="D2316" s="544"/>
      <c r="E2316" s="544"/>
      <c r="F2316" s="544"/>
      <c r="G2316" s="544"/>
      <c r="H2316" s="544"/>
      <c r="I2316" s="543"/>
      <c r="J2316" s="543"/>
      <c r="K2316" s="544"/>
      <c r="L2316" s="543"/>
      <c r="M2316" s="544"/>
      <c r="N2316" s="543"/>
      <c r="O2316" s="544"/>
      <c r="P2316" s="544"/>
      <c r="Q2316" s="544"/>
      <c r="R2316" s="544"/>
      <c r="S2316" s="544"/>
    </row>
    <row r="2317" ht="14.25" customHeight="1">
      <c r="A2317" s="542"/>
      <c r="B2317" s="543"/>
      <c r="C2317" s="543"/>
      <c r="D2317" s="544"/>
      <c r="E2317" s="544"/>
      <c r="F2317" s="544"/>
      <c r="G2317" s="544"/>
      <c r="H2317" s="544"/>
      <c r="I2317" s="543"/>
      <c r="J2317" s="543"/>
      <c r="K2317" s="544"/>
      <c r="L2317" s="543"/>
      <c r="M2317" s="544"/>
      <c r="N2317" s="543"/>
      <c r="O2317" s="544"/>
      <c r="P2317" s="544"/>
      <c r="Q2317" s="544"/>
      <c r="R2317" s="544"/>
      <c r="S2317" s="544"/>
    </row>
    <row r="2318" ht="14.25" customHeight="1">
      <c r="A2318" s="542"/>
      <c r="B2318" s="543"/>
      <c r="C2318" s="543"/>
      <c r="D2318" s="544"/>
      <c r="E2318" s="544"/>
      <c r="F2318" s="544"/>
      <c r="G2318" s="544"/>
      <c r="H2318" s="544"/>
      <c r="I2318" s="543"/>
      <c r="J2318" s="543"/>
      <c r="K2318" s="544"/>
      <c r="L2318" s="543"/>
      <c r="M2318" s="544"/>
      <c r="N2318" s="543"/>
      <c r="O2318" s="544"/>
      <c r="P2318" s="544"/>
      <c r="Q2318" s="544"/>
      <c r="R2318" s="544"/>
      <c r="S2318" s="544"/>
    </row>
    <row r="2319" ht="14.25" customHeight="1">
      <c r="A2319" s="542"/>
      <c r="B2319" s="543"/>
      <c r="C2319" s="543"/>
      <c r="D2319" s="544"/>
      <c r="E2319" s="544"/>
      <c r="F2319" s="544"/>
      <c r="G2319" s="544"/>
      <c r="H2319" s="544"/>
      <c r="I2319" s="543"/>
      <c r="J2319" s="543"/>
      <c r="K2319" s="544"/>
      <c r="L2319" s="543"/>
      <c r="M2319" s="544"/>
      <c r="N2319" s="543"/>
      <c r="O2319" s="544"/>
      <c r="P2319" s="544"/>
      <c r="Q2319" s="544"/>
      <c r="R2319" s="544"/>
      <c r="S2319" s="544"/>
    </row>
    <row r="2320" ht="14.25" customHeight="1">
      <c r="A2320" s="542"/>
      <c r="B2320" s="543"/>
      <c r="C2320" s="543"/>
      <c r="D2320" s="544"/>
      <c r="E2320" s="544"/>
      <c r="F2320" s="544"/>
      <c r="G2320" s="544"/>
      <c r="H2320" s="544"/>
      <c r="I2320" s="543"/>
      <c r="J2320" s="543"/>
      <c r="K2320" s="544"/>
      <c r="L2320" s="543"/>
      <c r="M2320" s="544"/>
      <c r="N2320" s="543"/>
      <c r="O2320" s="544"/>
      <c r="P2320" s="544"/>
      <c r="Q2320" s="544"/>
      <c r="R2320" s="544"/>
      <c r="S2320" s="544"/>
    </row>
    <row r="2321" ht="14.25" customHeight="1">
      <c r="A2321" s="542"/>
      <c r="B2321" s="543"/>
      <c r="C2321" s="543"/>
      <c r="D2321" s="544"/>
      <c r="E2321" s="544"/>
      <c r="F2321" s="544"/>
      <c r="G2321" s="544"/>
      <c r="H2321" s="544"/>
      <c r="I2321" s="543"/>
      <c r="J2321" s="543"/>
      <c r="K2321" s="544"/>
      <c r="L2321" s="543"/>
      <c r="M2321" s="544"/>
      <c r="N2321" s="543"/>
      <c r="O2321" s="544"/>
      <c r="P2321" s="544"/>
      <c r="Q2321" s="544"/>
      <c r="R2321" s="544"/>
      <c r="S2321" s="544"/>
    </row>
    <row r="2322" ht="14.25" customHeight="1">
      <c r="A2322" s="542"/>
      <c r="B2322" s="543"/>
      <c r="C2322" s="543"/>
      <c r="D2322" s="544"/>
      <c r="E2322" s="544"/>
      <c r="F2322" s="544"/>
      <c r="G2322" s="544"/>
      <c r="H2322" s="544"/>
      <c r="I2322" s="543"/>
      <c r="J2322" s="543"/>
      <c r="K2322" s="544"/>
      <c r="L2322" s="543"/>
      <c r="M2322" s="544"/>
      <c r="N2322" s="543"/>
      <c r="O2322" s="544"/>
      <c r="P2322" s="544"/>
      <c r="Q2322" s="544"/>
      <c r="R2322" s="544"/>
      <c r="S2322" s="544"/>
    </row>
    <row r="2323" ht="14.25" customHeight="1">
      <c r="A2323" s="542"/>
      <c r="B2323" s="543"/>
      <c r="C2323" s="543"/>
      <c r="D2323" s="544"/>
      <c r="E2323" s="544"/>
      <c r="F2323" s="544"/>
      <c r="G2323" s="544"/>
      <c r="H2323" s="544"/>
      <c r="I2323" s="543"/>
      <c r="J2323" s="543"/>
      <c r="K2323" s="544"/>
      <c r="L2323" s="543"/>
      <c r="M2323" s="544"/>
      <c r="N2323" s="543"/>
      <c r="O2323" s="544"/>
      <c r="P2323" s="544"/>
      <c r="Q2323" s="544"/>
      <c r="R2323" s="544"/>
      <c r="S2323" s="544"/>
    </row>
    <row r="2324" ht="14.25" customHeight="1">
      <c r="A2324" s="542"/>
      <c r="B2324" s="543"/>
      <c r="C2324" s="543"/>
      <c r="D2324" s="544"/>
      <c r="E2324" s="544"/>
      <c r="F2324" s="544"/>
      <c r="G2324" s="544"/>
      <c r="H2324" s="544"/>
      <c r="I2324" s="543"/>
      <c r="J2324" s="543"/>
      <c r="K2324" s="544"/>
      <c r="L2324" s="543"/>
      <c r="M2324" s="544"/>
      <c r="N2324" s="543"/>
      <c r="O2324" s="544"/>
      <c r="P2324" s="544"/>
      <c r="Q2324" s="544"/>
      <c r="R2324" s="544"/>
      <c r="S2324" s="544"/>
    </row>
    <row r="2325" ht="14.25" customHeight="1">
      <c r="A2325" s="542"/>
      <c r="B2325" s="543"/>
      <c r="C2325" s="543"/>
      <c r="D2325" s="544"/>
      <c r="E2325" s="544"/>
      <c r="F2325" s="544"/>
      <c r="G2325" s="544"/>
      <c r="H2325" s="544"/>
      <c r="I2325" s="543"/>
      <c r="J2325" s="543"/>
      <c r="K2325" s="544"/>
      <c r="L2325" s="543"/>
      <c r="M2325" s="544"/>
      <c r="N2325" s="543"/>
      <c r="O2325" s="544"/>
      <c r="P2325" s="544"/>
      <c r="Q2325" s="544"/>
      <c r="R2325" s="544"/>
      <c r="S2325" s="544"/>
    </row>
    <row r="2326" ht="14.25" customHeight="1">
      <c r="A2326" s="542"/>
      <c r="B2326" s="543"/>
      <c r="C2326" s="543"/>
      <c r="D2326" s="544"/>
      <c r="E2326" s="544"/>
      <c r="F2326" s="544"/>
      <c r="G2326" s="544"/>
      <c r="H2326" s="544"/>
      <c r="I2326" s="543"/>
      <c r="J2326" s="543"/>
      <c r="K2326" s="544"/>
      <c r="L2326" s="543"/>
      <c r="M2326" s="544"/>
      <c r="N2326" s="543"/>
      <c r="O2326" s="544"/>
      <c r="P2326" s="544"/>
      <c r="Q2326" s="544"/>
      <c r="R2326" s="544"/>
      <c r="S2326" s="544"/>
    </row>
    <row r="2327" ht="14.25" customHeight="1">
      <c r="A2327" s="542"/>
      <c r="B2327" s="543"/>
      <c r="C2327" s="543"/>
      <c r="D2327" s="544"/>
      <c r="E2327" s="544"/>
      <c r="F2327" s="544"/>
      <c r="G2327" s="544"/>
      <c r="H2327" s="544"/>
      <c r="I2327" s="543"/>
      <c r="J2327" s="543"/>
      <c r="K2327" s="544"/>
      <c r="L2327" s="543"/>
      <c r="M2327" s="544"/>
      <c r="N2327" s="543"/>
      <c r="O2327" s="544"/>
      <c r="P2327" s="544"/>
      <c r="Q2327" s="544"/>
      <c r="R2327" s="544"/>
      <c r="S2327" s="544"/>
    </row>
    <row r="2328" ht="14.25" customHeight="1">
      <c r="A2328" s="542"/>
      <c r="B2328" s="543"/>
      <c r="C2328" s="543"/>
      <c r="D2328" s="544"/>
      <c r="E2328" s="544"/>
      <c r="F2328" s="544"/>
      <c r="G2328" s="544"/>
      <c r="H2328" s="544"/>
      <c r="I2328" s="543"/>
      <c r="J2328" s="543"/>
      <c r="K2328" s="544"/>
      <c r="L2328" s="543"/>
      <c r="M2328" s="544"/>
      <c r="N2328" s="543"/>
      <c r="O2328" s="544"/>
      <c r="P2328" s="544"/>
      <c r="Q2328" s="544"/>
      <c r="R2328" s="544"/>
      <c r="S2328" s="544"/>
    </row>
    <row r="2329" ht="14.25" customHeight="1">
      <c r="A2329" s="542"/>
      <c r="B2329" s="543"/>
      <c r="C2329" s="543"/>
      <c r="D2329" s="544"/>
      <c r="E2329" s="544"/>
      <c r="F2329" s="544"/>
      <c r="G2329" s="544"/>
      <c r="H2329" s="544"/>
      <c r="I2329" s="543"/>
      <c r="J2329" s="543"/>
      <c r="K2329" s="544"/>
      <c r="L2329" s="543"/>
      <c r="M2329" s="544"/>
      <c r="N2329" s="543"/>
      <c r="O2329" s="544"/>
      <c r="P2329" s="544"/>
      <c r="Q2329" s="544"/>
      <c r="R2329" s="544"/>
      <c r="S2329" s="544"/>
    </row>
    <row r="2330" ht="14.25" customHeight="1">
      <c r="A2330" s="542"/>
      <c r="B2330" s="543"/>
      <c r="C2330" s="543"/>
      <c r="D2330" s="544"/>
      <c r="E2330" s="544"/>
      <c r="F2330" s="544"/>
      <c r="G2330" s="544"/>
      <c r="H2330" s="544"/>
      <c r="I2330" s="543"/>
      <c r="J2330" s="543"/>
      <c r="K2330" s="544"/>
      <c r="L2330" s="543"/>
      <c r="M2330" s="544"/>
      <c r="N2330" s="543"/>
      <c r="O2330" s="544"/>
      <c r="P2330" s="544"/>
      <c r="Q2330" s="544"/>
      <c r="R2330" s="544"/>
      <c r="S2330" s="544"/>
    </row>
    <row r="2331" ht="14.25" customHeight="1">
      <c r="A2331" s="542"/>
      <c r="B2331" s="543"/>
      <c r="C2331" s="543"/>
      <c r="D2331" s="544"/>
      <c r="E2331" s="544"/>
      <c r="F2331" s="544"/>
      <c r="G2331" s="544"/>
      <c r="H2331" s="544"/>
      <c r="I2331" s="543"/>
      <c r="J2331" s="543"/>
      <c r="K2331" s="544"/>
      <c r="L2331" s="543"/>
      <c r="M2331" s="544"/>
      <c r="N2331" s="543"/>
      <c r="O2331" s="544"/>
      <c r="P2331" s="544"/>
      <c r="Q2331" s="544"/>
      <c r="R2331" s="544"/>
      <c r="S2331" s="544"/>
    </row>
    <row r="2332" ht="14.25" customHeight="1">
      <c r="A2332" s="542"/>
      <c r="B2332" s="543"/>
      <c r="C2332" s="543"/>
      <c r="D2332" s="544"/>
      <c r="E2332" s="544"/>
      <c r="F2332" s="544"/>
      <c r="G2332" s="544"/>
      <c r="H2332" s="544"/>
      <c r="I2332" s="543"/>
      <c r="J2332" s="543"/>
      <c r="K2332" s="544"/>
      <c r="L2332" s="543"/>
      <c r="M2332" s="544"/>
      <c r="N2332" s="543"/>
      <c r="O2332" s="544"/>
      <c r="P2332" s="544"/>
      <c r="Q2332" s="544"/>
      <c r="R2332" s="544"/>
      <c r="S2332" s="544"/>
    </row>
    <row r="2333" ht="14.25" customHeight="1">
      <c r="A2333" s="542"/>
      <c r="B2333" s="543"/>
      <c r="C2333" s="543"/>
      <c r="D2333" s="544"/>
      <c r="E2333" s="544"/>
      <c r="F2333" s="544"/>
      <c r="G2333" s="544"/>
      <c r="H2333" s="544"/>
      <c r="I2333" s="543"/>
      <c r="J2333" s="543"/>
      <c r="K2333" s="544"/>
      <c r="L2333" s="543"/>
      <c r="M2333" s="544"/>
      <c r="N2333" s="543"/>
      <c r="O2333" s="544"/>
      <c r="P2333" s="544"/>
      <c r="Q2333" s="544"/>
      <c r="R2333" s="544"/>
      <c r="S2333" s="544"/>
    </row>
    <row r="2334" ht="14.25" customHeight="1">
      <c r="A2334" s="542"/>
      <c r="B2334" s="543"/>
      <c r="C2334" s="543"/>
      <c r="D2334" s="544"/>
      <c r="E2334" s="544"/>
      <c r="F2334" s="544"/>
      <c r="G2334" s="544"/>
      <c r="H2334" s="544"/>
      <c r="I2334" s="543"/>
      <c r="J2334" s="543"/>
      <c r="K2334" s="544"/>
      <c r="L2334" s="543"/>
      <c r="M2334" s="544"/>
      <c r="N2334" s="543"/>
      <c r="O2334" s="544"/>
      <c r="P2334" s="544"/>
      <c r="Q2334" s="544"/>
      <c r="R2334" s="544"/>
      <c r="S2334" s="544"/>
    </row>
    <row r="2335" ht="14.25" customHeight="1">
      <c r="A2335" s="542"/>
      <c r="B2335" s="543"/>
      <c r="C2335" s="543"/>
      <c r="D2335" s="544"/>
      <c r="E2335" s="544"/>
      <c r="F2335" s="544"/>
      <c r="G2335" s="544"/>
      <c r="H2335" s="544"/>
      <c r="I2335" s="543"/>
      <c r="J2335" s="543"/>
      <c r="K2335" s="544"/>
      <c r="L2335" s="543"/>
      <c r="M2335" s="544"/>
      <c r="N2335" s="543"/>
      <c r="O2335" s="544"/>
      <c r="P2335" s="544"/>
      <c r="Q2335" s="544"/>
      <c r="R2335" s="544"/>
      <c r="S2335" s="544"/>
    </row>
    <row r="2336" ht="14.25" customHeight="1">
      <c r="A2336" s="542"/>
      <c r="B2336" s="543"/>
      <c r="C2336" s="543"/>
      <c r="D2336" s="544"/>
      <c r="E2336" s="544"/>
      <c r="F2336" s="544"/>
      <c r="G2336" s="544"/>
      <c r="H2336" s="544"/>
      <c r="I2336" s="543"/>
      <c r="J2336" s="543"/>
      <c r="K2336" s="544"/>
      <c r="L2336" s="543"/>
      <c r="M2336" s="544"/>
      <c r="N2336" s="543"/>
      <c r="O2336" s="544"/>
      <c r="P2336" s="544"/>
      <c r="Q2336" s="544"/>
      <c r="R2336" s="544"/>
      <c r="S2336" s="544"/>
    </row>
    <row r="2337" ht="14.25" customHeight="1">
      <c r="A2337" s="542"/>
      <c r="B2337" s="543"/>
      <c r="C2337" s="543"/>
      <c r="D2337" s="544"/>
      <c r="E2337" s="544"/>
      <c r="F2337" s="544"/>
      <c r="G2337" s="544"/>
      <c r="H2337" s="544"/>
      <c r="I2337" s="543"/>
      <c r="J2337" s="543"/>
      <c r="K2337" s="544"/>
      <c r="L2337" s="543"/>
      <c r="M2337" s="544"/>
      <c r="N2337" s="543"/>
      <c r="O2337" s="544"/>
      <c r="P2337" s="544"/>
      <c r="Q2337" s="544"/>
      <c r="R2337" s="544"/>
      <c r="S2337" s="544"/>
    </row>
    <row r="2338" ht="14.25" customHeight="1">
      <c r="A2338" s="542"/>
      <c r="B2338" s="543"/>
      <c r="C2338" s="543"/>
      <c r="D2338" s="544"/>
      <c r="E2338" s="544"/>
      <c r="F2338" s="544"/>
      <c r="G2338" s="544"/>
      <c r="H2338" s="544"/>
      <c r="I2338" s="543"/>
      <c r="J2338" s="543"/>
      <c r="K2338" s="544"/>
      <c r="L2338" s="543"/>
      <c r="M2338" s="544"/>
      <c r="N2338" s="543"/>
      <c r="O2338" s="544"/>
      <c r="P2338" s="544"/>
      <c r="Q2338" s="544"/>
      <c r="R2338" s="544"/>
      <c r="S2338" s="544"/>
    </row>
    <row r="2339" ht="14.25" customHeight="1">
      <c r="A2339" s="542"/>
      <c r="B2339" s="543"/>
      <c r="C2339" s="543"/>
      <c r="D2339" s="544"/>
      <c r="E2339" s="544"/>
      <c r="F2339" s="544"/>
      <c r="G2339" s="544"/>
      <c r="H2339" s="544"/>
      <c r="I2339" s="543"/>
      <c r="J2339" s="543"/>
      <c r="K2339" s="544"/>
      <c r="L2339" s="543"/>
      <c r="M2339" s="544"/>
      <c r="N2339" s="543"/>
      <c r="O2339" s="544"/>
      <c r="P2339" s="544"/>
      <c r="Q2339" s="544"/>
      <c r="R2339" s="544"/>
      <c r="S2339" s="544"/>
    </row>
    <row r="2340" ht="14.25" customHeight="1">
      <c r="A2340" s="542"/>
      <c r="B2340" s="543"/>
      <c r="C2340" s="543"/>
      <c r="D2340" s="544"/>
      <c r="E2340" s="544"/>
      <c r="F2340" s="544"/>
      <c r="G2340" s="544"/>
      <c r="H2340" s="544"/>
      <c r="I2340" s="543"/>
      <c r="J2340" s="543"/>
      <c r="K2340" s="544"/>
      <c r="L2340" s="543"/>
      <c r="M2340" s="544"/>
      <c r="N2340" s="543"/>
      <c r="O2340" s="544"/>
      <c r="P2340" s="544"/>
      <c r="Q2340" s="544"/>
      <c r="R2340" s="544"/>
      <c r="S2340" s="544"/>
    </row>
    <row r="2341" ht="14.25" customHeight="1">
      <c r="A2341" s="542"/>
      <c r="B2341" s="543"/>
      <c r="C2341" s="543"/>
      <c r="D2341" s="544"/>
      <c r="E2341" s="544"/>
      <c r="F2341" s="544"/>
      <c r="G2341" s="544"/>
      <c r="H2341" s="544"/>
      <c r="I2341" s="543"/>
      <c r="J2341" s="543"/>
      <c r="K2341" s="544"/>
      <c r="L2341" s="543"/>
      <c r="M2341" s="544"/>
      <c r="N2341" s="543"/>
      <c r="O2341" s="544"/>
      <c r="P2341" s="544"/>
      <c r="Q2341" s="544"/>
      <c r="R2341" s="544"/>
      <c r="S2341" s="544"/>
    </row>
    <row r="2342" ht="14.25" customHeight="1">
      <c r="A2342" s="542"/>
      <c r="B2342" s="543"/>
      <c r="C2342" s="543"/>
      <c r="D2342" s="544"/>
      <c r="E2342" s="544"/>
      <c r="F2342" s="544"/>
      <c r="G2342" s="544"/>
      <c r="H2342" s="544"/>
      <c r="I2342" s="543"/>
      <c r="J2342" s="543"/>
      <c r="K2342" s="544"/>
      <c r="L2342" s="543"/>
      <c r="M2342" s="544"/>
      <c r="N2342" s="543"/>
      <c r="O2342" s="544"/>
      <c r="P2342" s="544"/>
      <c r="Q2342" s="544"/>
      <c r="R2342" s="544"/>
      <c r="S2342" s="544"/>
    </row>
    <row r="2343" ht="14.25" customHeight="1">
      <c r="A2343" s="542"/>
      <c r="B2343" s="543"/>
      <c r="C2343" s="543"/>
      <c r="D2343" s="544"/>
      <c r="E2343" s="544"/>
      <c r="F2343" s="544"/>
      <c r="G2343" s="544"/>
      <c r="H2343" s="544"/>
      <c r="I2343" s="543"/>
      <c r="J2343" s="543"/>
      <c r="K2343" s="544"/>
      <c r="L2343" s="543"/>
      <c r="M2343" s="544"/>
      <c r="N2343" s="543"/>
      <c r="O2343" s="544"/>
      <c r="P2343" s="544"/>
      <c r="Q2343" s="544"/>
      <c r="R2343" s="544"/>
      <c r="S2343" s="544"/>
    </row>
    <row r="2344" ht="14.25" customHeight="1">
      <c r="A2344" s="542"/>
      <c r="B2344" s="543"/>
      <c r="C2344" s="543"/>
      <c r="D2344" s="544"/>
      <c r="E2344" s="544"/>
      <c r="F2344" s="544"/>
      <c r="G2344" s="544"/>
      <c r="H2344" s="544"/>
      <c r="I2344" s="543"/>
      <c r="J2344" s="543"/>
      <c r="K2344" s="544"/>
      <c r="L2344" s="543"/>
      <c r="M2344" s="544"/>
      <c r="N2344" s="543"/>
      <c r="O2344" s="544"/>
      <c r="P2344" s="544"/>
      <c r="Q2344" s="544"/>
      <c r="R2344" s="544"/>
      <c r="S2344" s="544"/>
    </row>
    <row r="2345" ht="14.25" customHeight="1">
      <c r="A2345" s="542"/>
      <c r="B2345" s="543"/>
      <c r="C2345" s="543"/>
      <c r="D2345" s="544"/>
      <c r="E2345" s="544"/>
      <c r="F2345" s="544"/>
      <c r="G2345" s="544"/>
      <c r="H2345" s="544"/>
      <c r="I2345" s="543"/>
      <c r="J2345" s="543"/>
      <c r="K2345" s="544"/>
      <c r="L2345" s="543"/>
      <c r="M2345" s="544"/>
      <c r="N2345" s="543"/>
      <c r="O2345" s="544"/>
      <c r="P2345" s="544"/>
      <c r="Q2345" s="544"/>
      <c r="R2345" s="544"/>
      <c r="S2345" s="544"/>
    </row>
    <row r="2346" ht="14.25" customHeight="1">
      <c r="A2346" s="542"/>
      <c r="B2346" s="543"/>
      <c r="C2346" s="543"/>
      <c r="D2346" s="544"/>
      <c r="E2346" s="544"/>
      <c r="F2346" s="544"/>
      <c r="G2346" s="544"/>
      <c r="H2346" s="544"/>
      <c r="I2346" s="543"/>
      <c r="J2346" s="543"/>
      <c r="K2346" s="544"/>
      <c r="L2346" s="543"/>
      <c r="M2346" s="544"/>
      <c r="N2346" s="543"/>
      <c r="O2346" s="544"/>
      <c r="P2346" s="544"/>
      <c r="Q2346" s="544"/>
      <c r="R2346" s="544"/>
      <c r="S2346" s="544"/>
    </row>
    <row r="2347" ht="14.25" customHeight="1">
      <c r="A2347" s="542"/>
      <c r="B2347" s="543"/>
      <c r="C2347" s="543"/>
      <c r="D2347" s="544"/>
      <c r="E2347" s="544"/>
      <c r="F2347" s="544"/>
      <c r="G2347" s="544"/>
      <c r="H2347" s="544"/>
      <c r="I2347" s="543"/>
      <c r="J2347" s="543"/>
      <c r="K2347" s="544"/>
      <c r="L2347" s="543"/>
      <c r="M2347" s="544"/>
      <c r="N2347" s="543"/>
      <c r="O2347" s="544"/>
      <c r="P2347" s="544"/>
      <c r="Q2347" s="544"/>
      <c r="R2347" s="544"/>
      <c r="S2347" s="544"/>
    </row>
    <row r="2348" ht="14.25" customHeight="1">
      <c r="A2348" s="542"/>
      <c r="B2348" s="543"/>
      <c r="C2348" s="543"/>
      <c r="D2348" s="544"/>
      <c r="E2348" s="544"/>
      <c r="F2348" s="544"/>
      <c r="G2348" s="544"/>
      <c r="H2348" s="544"/>
      <c r="I2348" s="543"/>
      <c r="J2348" s="543"/>
      <c r="K2348" s="544"/>
      <c r="L2348" s="543"/>
      <c r="M2348" s="544"/>
      <c r="N2348" s="543"/>
      <c r="O2348" s="544"/>
      <c r="P2348" s="544"/>
      <c r="Q2348" s="544"/>
      <c r="R2348" s="544"/>
      <c r="S2348" s="544"/>
    </row>
    <row r="2349" ht="14.25" customHeight="1">
      <c r="A2349" s="542"/>
      <c r="B2349" s="543"/>
      <c r="C2349" s="543"/>
      <c r="D2349" s="544"/>
      <c r="E2349" s="544"/>
      <c r="F2349" s="544"/>
      <c r="G2349" s="544"/>
      <c r="H2349" s="544"/>
      <c r="I2349" s="543"/>
      <c r="J2349" s="543"/>
      <c r="K2349" s="544"/>
      <c r="L2349" s="543"/>
      <c r="M2349" s="544"/>
      <c r="N2349" s="543"/>
      <c r="O2349" s="544"/>
      <c r="P2349" s="544"/>
      <c r="Q2349" s="544"/>
      <c r="R2349" s="544"/>
      <c r="S2349" s="544"/>
    </row>
    <row r="2350" ht="14.25" customHeight="1">
      <c r="A2350" s="542"/>
      <c r="B2350" s="543"/>
      <c r="C2350" s="543"/>
      <c r="D2350" s="544"/>
      <c r="E2350" s="544"/>
      <c r="F2350" s="544"/>
      <c r="G2350" s="544"/>
      <c r="H2350" s="544"/>
      <c r="I2350" s="543"/>
      <c r="J2350" s="543"/>
      <c r="K2350" s="544"/>
      <c r="L2350" s="543"/>
      <c r="M2350" s="544"/>
      <c r="N2350" s="543"/>
      <c r="O2350" s="544"/>
      <c r="P2350" s="544"/>
      <c r="Q2350" s="544"/>
      <c r="R2350" s="544"/>
      <c r="S2350" s="544"/>
    </row>
    <row r="2351" ht="14.25" customHeight="1">
      <c r="A2351" s="542"/>
      <c r="B2351" s="543"/>
      <c r="C2351" s="543"/>
      <c r="D2351" s="544"/>
      <c r="E2351" s="544"/>
      <c r="F2351" s="544"/>
      <c r="G2351" s="544"/>
      <c r="H2351" s="544"/>
      <c r="I2351" s="543"/>
      <c r="J2351" s="543"/>
      <c r="K2351" s="544"/>
      <c r="L2351" s="543"/>
      <c r="M2351" s="544"/>
      <c r="N2351" s="543"/>
      <c r="O2351" s="544"/>
      <c r="P2351" s="544"/>
      <c r="Q2351" s="544"/>
      <c r="R2351" s="544"/>
      <c r="S2351" s="544"/>
    </row>
    <row r="2352" ht="14.25" customHeight="1">
      <c r="A2352" s="542"/>
      <c r="B2352" s="543"/>
      <c r="C2352" s="543"/>
      <c r="D2352" s="544"/>
      <c r="E2352" s="544"/>
      <c r="F2352" s="544"/>
      <c r="G2352" s="544"/>
      <c r="H2352" s="544"/>
      <c r="I2352" s="543"/>
      <c r="J2352" s="543"/>
      <c r="K2352" s="544"/>
      <c r="L2352" s="543"/>
      <c r="M2352" s="544"/>
      <c r="N2352" s="543"/>
      <c r="O2352" s="544"/>
      <c r="P2352" s="544"/>
      <c r="Q2352" s="544"/>
      <c r="R2352" s="544"/>
      <c r="S2352" s="544"/>
    </row>
    <row r="2353" ht="14.25" customHeight="1">
      <c r="A2353" s="542"/>
      <c r="B2353" s="543"/>
      <c r="C2353" s="543"/>
      <c r="D2353" s="544"/>
      <c r="E2353" s="544"/>
      <c r="F2353" s="544"/>
      <c r="G2353" s="544"/>
      <c r="H2353" s="544"/>
      <c r="I2353" s="543"/>
      <c r="J2353" s="543"/>
      <c r="K2353" s="544"/>
      <c r="L2353" s="543"/>
      <c r="M2353" s="544"/>
      <c r="N2353" s="543"/>
      <c r="O2353" s="544"/>
      <c r="P2353" s="544"/>
      <c r="Q2353" s="544"/>
      <c r="R2353" s="544"/>
      <c r="S2353" s="544"/>
    </row>
    <row r="2354" ht="14.25" customHeight="1">
      <c r="A2354" s="542"/>
      <c r="B2354" s="543"/>
      <c r="C2354" s="543"/>
      <c r="D2354" s="544"/>
      <c r="E2354" s="544"/>
      <c r="F2354" s="544"/>
      <c r="G2354" s="544"/>
      <c r="H2354" s="544"/>
      <c r="I2354" s="543"/>
      <c r="J2354" s="543"/>
      <c r="K2354" s="544"/>
      <c r="L2354" s="543"/>
      <c r="M2354" s="544"/>
      <c r="N2354" s="543"/>
      <c r="O2354" s="544"/>
      <c r="P2354" s="544"/>
      <c r="Q2354" s="544"/>
      <c r="R2354" s="544"/>
      <c r="S2354" s="544"/>
    </row>
    <row r="2355" ht="14.25" customHeight="1">
      <c r="A2355" s="542"/>
      <c r="B2355" s="543"/>
      <c r="C2355" s="543"/>
      <c r="D2355" s="544"/>
      <c r="E2355" s="544"/>
      <c r="F2355" s="544"/>
      <c r="G2355" s="544"/>
      <c r="H2355" s="544"/>
      <c r="I2355" s="543"/>
      <c r="J2355" s="543"/>
      <c r="K2355" s="544"/>
      <c r="L2355" s="543"/>
      <c r="M2355" s="544"/>
      <c r="N2355" s="543"/>
      <c r="O2355" s="544"/>
      <c r="P2355" s="544"/>
      <c r="Q2355" s="544"/>
      <c r="R2355" s="544"/>
      <c r="S2355" s="544"/>
    </row>
    <row r="2356" ht="14.25" customHeight="1">
      <c r="A2356" s="542"/>
      <c r="B2356" s="543"/>
      <c r="C2356" s="543"/>
      <c r="D2356" s="544"/>
      <c r="E2356" s="544"/>
      <c r="F2356" s="544"/>
      <c r="G2356" s="544"/>
      <c r="H2356" s="544"/>
      <c r="I2356" s="543"/>
      <c r="J2356" s="543"/>
      <c r="K2356" s="544"/>
      <c r="L2356" s="543"/>
      <c r="M2356" s="544"/>
      <c r="N2356" s="543"/>
      <c r="O2356" s="544"/>
      <c r="P2356" s="544"/>
      <c r="Q2356" s="544"/>
      <c r="R2356" s="544"/>
      <c r="S2356" s="544"/>
    </row>
    <row r="2357" ht="14.25" customHeight="1">
      <c r="A2357" s="542"/>
      <c r="B2357" s="543"/>
      <c r="C2357" s="543"/>
      <c r="D2357" s="544"/>
      <c r="E2357" s="544"/>
      <c r="F2357" s="544"/>
      <c r="G2357" s="544"/>
      <c r="H2357" s="544"/>
      <c r="I2357" s="543"/>
      <c r="J2357" s="543"/>
      <c r="K2357" s="544"/>
      <c r="L2357" s="543"/>
      <c r="M2357" s="544"/>
      <c r="N2357" s="543"/>
      <c r="O2357" s="544"/>
      <c r="P2357" s="544"/>
      <c r="Q2357" s="544"/>
      <c r="R2357" s="544"/>
      <c r="S2357" s="544"/>
    </row>
    <row r="2358" ht="14.25" customHeight="1">
      <c r="A2358" s="542"/>
      <c r="B2358" s="543"/>
      <c r="C2358" s="543"/>
      <c r="D2358" s="544"/>
      <c r="E2358" s="544"/>
      <c r="F2358" s="544"/>
      <c r="G2358" s="544"/>
      <c r="H2358" s="544"/>
      <c r="I2358" s="543"/>
      <c r="J2358" s="543"/>
      <c r="K2358" s="544"/>
      <c r="L2358" s="543"/>
      <c r="M2358" s="544"/>
      <c r="N2358" s="543"/>
      <c r="O2358" s="544"/>
      <c r="P2358" s="544"/>
      <c r="Q2358" s="544"/>
      <c r="R2358" s="544"/>
      <c r="S2358" s="544"/>
    </row>
    <row r="2359" ht="14.25" customHeight="1">
      <c r="A2359" s="542"/>
      <c r="B2359" s="543"/>
      <c r="C2359" s="543"/>
      <c r="D2359" s="544"/>
      <c r="E2359" s="544"/>
      <c r="F2359" s="544"/>
      <c r="G2359" s="544"/>
      <c r="H2359" s="544"/>
      <c r="I2359" s="543"/>
      <c r="J2359" s="543"/>
      <c r="K2359" s="544"/>
      <c r="L2359" s="543"/>
      <c r="M2359" s="544"/>
      <c r="N2359" s="543"/>
      <c r="O2359" s="544"/>
      <c r="P2359" s="544"/>
      <c r="Q2359" s="544"/>
      <c r="R2359" s="544"/>
      <c r="S2359" s="544"/>
    </row>
    <row r="2360" ht="14.25" customHeight="1">
      <c r="A2360" s="542"/>
      <c r="B2360" s="543"/>
      <c r="C2360" s="543"/>
      <c r="D2360" s="544"/>
      <c r="E2360" s="544"/>
      <c r="F2360" s="544"/>
      <c r="G2360" s="544"/>
      <c r="H2360" s="544"/>
      <c r="I2360" s="543"/>
      <c r="J2360" s="543"/>
      <c r="K2360" s="544"/>
      <c r="L2360" s="543"/>
      <c r="M2360" s="544"/>
      <c r="N2360" s="543"/>
      <c r="O2360" s="544"/>
      <c r="P2360" s="544"/>
      <c r="Q2360" s="544"/>
      <c r="R2360" s="544"/>
      <c r="S2360" s="544"/>
    </row>
    <row r="2361" ht="14.25" customHeight="1">
      <c r="A2361" s="542"/>
      <c r="B2361" s="543"/>
      <c r="C2361" s="543"/>
      <c r="D2361" s="544"/>
      <c r="E2361" s="544"/>
      <c r="F2361" s="544"/>
      <c r="G2361" s="544"/>
      <c r="H2361" s="544"/>
      <c r="I2361" s="543"/>
      <c r="J2361" s="543"/>
      <c r="K2361" s="544"/>
      <c r="L2361" s="543"/>
      <c r="M2361" s="544"/>
      <c r="N2361" s="543"/>
      <c r="O2361" s="544"/>
      <c r="P2361" s="544"/>
      <c r="Q2361" s="544"/>
      <c r="R2361" s="544"/>
      <c r="S2361" s="544"/>
    </row>
    <row r="2362" ht="14.25" customHeight="1">
      <c r="A2362" s="542"/>
      <c r="B2362" s="543"/>
      <c r="C2362" s="543"/>
      <c r="D2362" s="544"/>
      <c r="E2362" s="544"/>
      <c r="F2362" s="544"/>
      <c r="G2362" s="544"/>
      <c r="H2362" s="544"/>
      <c r="I2362" s="543"/>
      <c r="J2362" s="543"/>
      <c r="K2362" s="544"/>
      <c r="L2362" s="543"/>
      <c r="M2362" s="544"/>
      <c r="N2362" s="543"/>
      <c r="O2362" s="544"/>
      <c r="P2362" s="544"/>
      <c r="Q2362" s="544"/>
      <c r="R2362" s="544"/>
      <c r="S2362" s="544"/>
    </row>
    <row r="2363" ht="14.25" customHeight="1">
      <c r="A2363" s="542"/>
      <c r="B2363" s="543"/>
      <c r="C2363" s="543"/>
      <c r="D2363" s="544"/>
      <c r="E2363" s="544"/>
      <c r="F2363" s="544"/>
      <c r="G2363" s="544"/>
      <c r="H2363" s="544"/>
      <c r="I2363" s="543"/>
      <c r="J2363" s="543"/>
      <c r="K2363" s="544"/>
      <c r="L2363" s="543"/>
      <c r="M2363" s="544"/>
      <c r="N2363" s="543"/>
      <c r="O2363" s="544"/>
      <c r="P2363" s="544"/>
      <c r="Q2363" s="544"/>
      <c r="R2363" s="544"/>
      <c r="S2363" s="544"/>
    </row>
    <row r="2364" ht="14.25" customHeight="1">
      <c r="A2364" s="542"/>
      <c r="B2364" s="543"/>
      <c r="C2364" s="543"/>
      <c r="D2364" s="544"/>
      <c r="E2364" s="544"/>
      <c r="F2364" s="544"/>
      <c r="G2364" s="544"/>
      <c r="H2364" s="544"/>
      <c r="I2364" s="543"/>
      <c r="J2364" s="543"/>
      <c r="K2364" s="544"/>
      <c r="L2364" s="543"/>
      <c r="M2364" s="544"/>
      <c r="N2364" s="543"/>
      <c r="O2364" s="544"/>
      <c r="P2364" s="544"/>
      <c r="Q2364" s="544"/>
      <c r="R2364" s="544"/>
      <c r="S2364" s="544"/>
    </row>
    <row r="2365" ht="14.25" customHeight="1">
      <c r="A2365" s="542"/>
      <c r="B2365" s="543"/>
      <c r="C2365" s="543"/>
      <c r="D2365" s="544"/>
      <c r="E2365" s="544"/>
      <c r="F2365" s="544"/>
      <c r="G2365" s="544"/>
      <c r="H2365" s="544"/>
      <c r="I2365" s="543"/>
      <c r="J2365" s="543"/>
      <c r="K2365" s="544"/>
      <c r="L2365" s="543"/>
      <c r="M2365" s="544"/>
      <c r="N2365" s="543"/>
      <c r="O2365" s="544"/>
      <c r="P2365" s="544"/>
      <c r="Q2365" s="544"/>
      <c r="R2365" s="544"/>
      <c r="S2365" s="544"/>
    </row>
    <row r="2366" ht="14.25" customHeight="1">
      <c r="A2366" s="542"/>
      <c r="B2366" s="543"/>
      <c r="C2366" s="543"/>
      <c r="D2366" s="544"/>
      <c r="E2366" s="544"/>
      <c r="F2366" s="544"/>
      <c r="G2366" s="544"/>
      <c r="H2366" s="544"/>
      <c r="I2366" s="543"/>
      <c r="J2366" s="543"/>
      <c r="K2366" s="544"/>
      <c r="L2366" s="543"/>
      <c r="M2366" s="544"/>
      <c r="N2366" s="543"/>
      <c r="O2366" s="544"/>
      <c r="P2366" s="544"/>
      <c r="Q2366" s="544"/>
      <c r="R2366" s="544"/>
      <c r="S2366" s="544"/>
    </row>
    <row r="2367" ht="14.25" customHeight="1">
      <c r="A2367" s="542"/>
      <c r="B2367" s="543"/>
      <c r="C2367" s="543"/>
      <c r="D2367" s="544"/>
      <c r="E2367" s="544"/>
      <c r="F2367" s="544"/>
      <c r="G2367" s="544"/>
      <c r="H2367" s="544"/>
      <c r="I2367" s="543"/>
      <c r="J2367" s="543"/>
      <c r="K2367" s="544"/>
      <c r="L2367" s="543"/>
      <c r="M2367" s="544"/>
      <c r="N2367" s="543"/>
      <c r="O2367" s="544"/>
      <c r="P2367" s="544"/>
      <c r="Q2367" s="544"/>
      <c r="R2367" s="544"/>
      <c r="S2367" s="544"/>
    </row>
    <row r="2368" ht="14.25" customHeight="1">
      <c r="A2368" s="542"/>
      <c r="B2368" s="543"/>
      <c r="C2368" s="543"/>
      <c r="D2368" s="544"/>
      <c r="E2368" s="544"/>
      <c r="F2368" s="544"/>
      <c r="G2368" s="544"/>
      <c r="H2368" s="544"/>
      <c r="I2368" s="543"/>
      <c r="J2368" s="543"/>
      <c r="K2368" s="544"/>
      <c r="L2368" s="543"/>
      <c r="M2368" s="544"/>
      <c r="N2368" s="543"/>
      <c r="O2368" s="544"/>
      <c r="P2368" s="544"/>
      <c r="Q2368" s="544"/>
      <c r="R2368" s="544"/>
      <c r="S2368" s="544"/>
    </row>
    <row r="2369" ht="14.25" customHeight="1">
      <c r="A2369" s="542"/>
      <c r="B2369" s="543"/>
      <c r="C2369" s="543"/>
      <c r="D2369" s="544"/>
      <c r="E2369" s="544"/>
      <c r="F2369" s="544"/>
      <c r="G2369" s="544"/>
      <c r="H2369" s="544"/>
      <c r="I2369" s="543"/>
      <c r="J2369" s="543"/>
      <c r="K2369" s="544"/>
      <c r="L2369" s="543"/>
      <c r="M2369" s="544"/>
      <c r="N2369" s="543"/>
      <c r="O2369" s="544"/>
      <c r="P2369" s="544"/>
      <c r="Q2369" s="544"/>
      <c r="R2369" s="544"/>
      <c r="S2369" s="544"/>
    </row>
    <row r="2370" ht="14.25" customHeight="1">
      <c r="A2370" s="542"/>
      <c r="B2370" s="543"/>
      <c r="C2370" s="543"/>
      <c r="D2370" s="544"/>
      <c r="E2370" s="544"/>
      <c r="F2370" s="544"/>
      <c r="G2370" s="544"/>
      <c r="H2370" s="544"/>
      <c r="I2370" s="543"/>
      <c r="J2370" s="543"/>
      <c r="K2370" s="544"/>
      <c r="L2370" s="543"/>
      <c r="M2370" s="544"/>
      <c r="N2370" s="543"/>
      <c r="O2370" s="544"/>
      <c r="P2370" s="544"/>
      <c r="Q2370" s="544"/>
      <c r="R2370" s="544"/>
      <c r="S2370" s="544"/>
    </row>
    <row r="2371" ht="14.25" customHeight="1">
      <c r="A2371" s="542"/>
      <c r="B2371" s="543"/>
      <c r="C2371" s="543"/>
      <c r="D2371" s="544"/>
      <c r="E2371" s="544"/>
      <c r="F2371" s="544"/>
      <c r="G2371" s="544"/>
      <c r="H2371" s="544"/>
      <c r="I2371" s="543"/>
      <c r="J2371" s="543"/>
      <c r="K2371" s="544"/>
      <c r="L2371" s="543"/>
      <c r="M2371" s="544"/>
      <c r="N2371" s="543"/>
      <c r="O2371" s="544"/>
      <c r="P2371" s="544"/>
      <c r="Q2371" s="544"/>
      <c r="R2371" s="544"/>
      <c r="S2371" s="544"/>
    </row>
    <row r="2372" ht="14.25" customHeight="1">
      <c r="A2372" s="542"/>
      <c r="B2372" s="543"/>
      <c r="C2372" s="543"/>
      <c r="D2372" s="544"/>
      <c r="E2372" s="544"/>
      <c r="F2372" s="544"/>
      <c r="G2372" s="544"/>
      <c r="H2372" s="544"/>
      <c r="I2372" s="543"/>
      <c r="J2372" s="543"/>
      <c r="K2372" s="544"/>
      <c r="L2372" s="543"/>
      <c r="M2372" s="544"/>
      <c r="N2372" s="543"/>
      <c r="O2372" s="544"/>
      <c r="P2372" s="544"/>
      <c r="Q2372" s="544"/>
      <c r="R2372" s="544"/>
      <c r="S2372" s="544"/>
    </row>
    <row r="2373" ht="14.25" customHeight="1">
      <c r="A2373" s="542"/>
      <c r="B2373" s="543"/>
      <c r="C2373" s="543"/>
      <c r="D2373" s="544"/>
      <c r="E2373" s="544"/>
      <c r="F2373" s="544"/>
      <c r="G2373" s="544"/>
      <c r="H2373" s="544"/>
      <c r="I2373" s="543"/>
      <c r="J2373" s="543"/>
      <c r="K2373" s="544"/>
      <c r="L2373" s="543"/>
      <c r="M2373" s="544"/>
      <c r="N2373" s="543"/>
      <c r="O2373" s="544"/>
      <c r="P2373" s="544"/>
      <c r="Q2373" s="544"/>
      <c r="R2373" s="544"/>
      <c r="S2373" s="544"/>
    </row>
    <row r="2374" ht="14.25" customHeight="1">
      <c r="A2374" s="542"/>
      <c r="B2374" s="543"/>
      <c r="C2374" s="543"/>
      <c r="D2374" s="544"/>
      <c r="E2374" s="544"/>
      <c r="F2374" s="544"/>
      <c r="G2374" s="544"/>
      <c r="H2374" s="544"/>
      <c r="I2374" s="543"/>
      <c r="J2374" s="543"/>
      <c r="K2374" s="544"/>
      <c r="L2374" s="543"/>
      <c r="M2374" s="544"/>
      <c r="N2374" s="543"/>
      <c r="O2374" s="544"/>
      <c r="P2374" s="544"/>
      <c r="Q2374" s="544"/>
      <c r="R2374" s="544"/>
      <c r="S2374" s="544"/>
    </row>
    <row r="2375" ht="14.25" customHeight="1">
      <c r="A2375" s="542"/>
      <c r="B2375" s="543"/>
      <c r="C2375" s="543"/>
      <c r="D2375" s="544"/>
      <c r="E2375" s="544"/>
      <c r="F2375" s="544"/>
      <c r="G2375" s="544"/>
      <c r="H2375" s="544"/>
      <c r="I2375" s="543"/>
      <c r="J2375" s="543"/>
      <c r="K2375" s="544"/>
      <c r="L2375" s="543"/>
      <c r="M2375" s="544"/>
      <c r="N2375" s="543"/>
      <c r="O2375" s="544"/>
      <c r="P2375" s="544"/>
      <c r="Q2375" s="544"/>
      <c r="R2375" s="544"/>
      <c r="S2375" s="544"/>
    </row>
    <row r="2376" ht="14.25" customHeight="1">
      <c r="A2376" s="542"/>
      <c r="B2376" s="543"/>
      <c r="C2376" s="543"/>
      <c r="D2376" s="544"/>
      <c r="E2376" s="544"/>
      <c r="F2376" s="544"/>
      <c r="G2376" s="544"/>
      <c r="H2376" s="544"/>
      <c r="I2376" s="543"/>
      <c r="J2376" s="543"/>
      <c r="K2376" s="544"/>
      <c r="L2376" s="543"/>
      <c r="M2376" s="544"/>
      <c r="N2376" s="543"/>
      <c r="O2376" s="544"/>
      <c r="P2376" s="544"/>
      <c r="Q2376" s="544"/>
      <c r="R2376" s="544"/>
      <c r="S2376" s="544"/>
    </row>
    <row r="2377" ht="14.25" customHeight="1">
      <c r="A2377" s="542"/>
      <c r="B2377" s="543"/>
      <c r="C2377" s="543"/>
      <c r="D2377" s="544"/>
      <c r="E2377" s="544"/>
      <c r="F2377" s="544"/>
      <c r="G2377" s="544"/>
      <c r="H2377" s="544"/>
      <c r="I2377" s="543"/>
      <c r="J2377" s="543"/>
      <c r="K2377" s="544"/>
      <c r="L2377" s="543"/>
      <c r="M2377" s="544"/>
      <c r="N2377" s="543"/>
      <c r="O2377" s="544"/>
      <c r="P2377" s="544"/>
      <c r="Q2377" s="544"/>
      <c r="R2377" s="544"/>
      <c r="S2377" s="544"/>
    </row>
    <row r="2378" ht="14.25" customHeight="1">
      <c r="A2378" s="542"/>
      <c r="B2378" s="543"/>
      <c r="C2378" s="543"/>
      <c r="D2378" s="544"/>
      <c r="E2378" s="544"/>
      <c r="F2378" s="544"/>
      <c r="G2378" s="544"/>
      <c r="H2378" s="544"/>
      <c r="I2378" s="543"/>
      <c r="J2378" s="543"/>
      <c r="K2378" s="544"/>
      <c r="L2378" s="543"/>
      <c r="M2378" s="544"/>
      <c r="N2378" s="543"/>
      <c r="O2378" s="544"/>
      <c r="P2378" s="544"/>
      <c r="Q2378" s="544"/>
      <c r="R2378" s="544"/>
      <c r="S2378" s="544"/>
    </row>
    <row r="2379" ht="14.25" customHeight="1">
      <c r="A2379" s="542"/>
      <c r="B2379" s="543"/>
      <c r="C2379" s="543"/>
      <c r="D2379" s="544"/>
      <c r="E2379" s="544"/>
      <c r="F2379" s="544"/>
      <c r="G2379" s="544"/>
      <c r="H2379" s="544"/>
      <c r="I2379" s="543"/>
      <c r="J2379" s="543"/>
      <c r="K2379" s="544"/>
      <c r="L2379" s="543"/>
      <c r="M2379" s="544"/>
      <c r="N2379" s="543"/>
      <c r="O2379" s="544"/>
      <c r="P2379" s="544"/>
      <c r="Q2379" s="544"/>
      <c r="R2379" s="544"/>
      <c r="S2379" s="544"/>
    </row>
    <row r="2380" ht="14.25" customHeight="1">
      <c r="A2380" s="542"/>
      <c r="B2380" s="543"/>
      <c r="C2380" s="543"/>
      <c r="D2380" s="544"/>
      <c r="E2380" s="544"/>
      <c r="F2380" s="544"/>
      <c r="G2380" s="544"/>
      <c r="H2380" s="544"/>
      <c r="I2380" s="543"/>
      <c r="J2380" s="543"/>
      <c r="K2380" s="544"/>
      <c r="L2380" s="543"/>
      <c r="M2380" s="544"/>
      <c r="N2380" s="543"/>
      <c r="O2380" s="544"/>
      <c r="P2380" s="544"/>
      <c r="Q2380" s="544"/>
      <c r="R2380" s="544"/>
      <c r="S2380" s="544"/>
    </row>
    <row r="2381" ht="14.25" customHeight="1">
      <c r="A2381" s="542"/>
      <c r="B2381" s="543"/>
      <c r="C2381" s="543"/>
      <c r="D2381" s="544"/>
      <c r="E2381" s="544"/>
      <c r="F2381" s="544"/>
      <c r="G2381" s="544"/>
      <c r="H2381" s="544"/>
      <c r="I2381" s="543"/>
      <c r="J2381" s="543"/>
      <c r="K2381" s="544"/>
      <c r="L2381" s="543"/>
      <c r="M2381" s="544"/>
      <c r="N2381" s="543"/>
      <c r="O2381" s="544"/>
      <c r="P2381" s="544"/>
      <c r="Q2381" s="544"/>
      <c r="R2381" s="544"/>
      <c r="S2381" s="544"/>
    </row>
    <row r="2382" ht="14.25" customHeight="1">
      <c r="A2382" s="542"/>
      <c r="B2382" s="543"/>
      <c r="C2382" s="543"/>
      <c r="D2382" s="544"/>
      <c r="E2382" s="544"/>
      <c r="F2382" s="544"/>
      <c r="G2382" s="544"/>
      <c r="H2382" s="544"/>
      <c r="I2382" s="543"/>
      <c r="J2382" s="543"/>
      <c r="K2382" s="544"/>
      <c r="L2382" s="543"/>
      <c r="M2382" s="544"/>
      <c r="N2382" s="543"/>
      <c r="O2382" s="544"/>
      <c r="P2382" s="544"/>
      <c r="Q2382" s="544"/>
      <c r="R2382" s="544"/>
      <c r="S2382" s="544"/>
    </row>
    <row r="2383" ht="14.25" customHeight="1">
      <c r="A2383" s="542"/>
      <c r="B2383" s="543"/>
      <c r="C2383" s="543"/>
      <c r="D2383" s="544"/>
      <c r="E2383" s="544"/>
      <c r="F2383" s="544"/>
      <c r="G2383" s="544"/>
      <c r="H2383" s="544"/>
      <c r="I2383" s="543"/>
      <c r="J2383" s="543"/>
      <c r="K2383" s="544"/>
      <c r="L2383" s="543"/>
      <c r="M2383" s="544"/>
      <c r="N2383" s="543"/>
      <c r="O2383" s="544"/>
      <c r="P2383" s="544"/>
      <c r="Q2383" s="544"/>
      <c r="R2383" s="544"/>
      <c r="S2383" s="544"/>
    </row>
    <row r="2384" ht="14.25" customHeight="1">
      <c r="A2384" s="542"/>
      <c r="B2384" s="543"/>
      <c r="C2384" s="543"/>
      <c r="D2384" s="544"/>
      <c r="E2384" s="544"/>
      <c r="F2384" s="544"/>
      <c r="G2384" s="544"/>
      <c r="H2384" s="544"/>
      <c r="I2384" s="543"/>
      <c r="J2384" s="543"/>
      <c r="K2384" s="544"/>
      <c r="L2384" s="543"/>
      <c r="M2384" s="544"/>
      <c r="N2384" s="543"/>
      <c r="O2384" s="544"/>
      <c r="P2384" s="544"/>
      <c r="Q2384" s="544"/>
      <c r="R2384" s="544"/>
      <c r="S2384" s="544"/>
    </row>
    <row r="2385" ht="14.25" customHeight="1">
      <c r="A2385" s="542"/>
      <c r="B2385" s="543"/>
      <c r="C2385" s="543"/>
      <c r="D2385" s="544"/>
      <c r="E2385" s="544"/>
      <c r="F2385" s="544"/>
      <c r="G2385" s="544"/>
      <c r="H2385" s="544"/>
      <c r="I2385" s="543"/>
      <c r="J2385" s="543"/>
      <c r="K2385" s="544"/>
      <c r="L2385" s="543"/>
      <c r="M2385" s="544"/>
      <c r="N2385" s="543"/>
      <c r="O2385" s="544"/>
      <c r="P2385" s="544"/>
      <c r="Q2385" s="544"/>
      <c r="R2385" s="544"/>
      <c r="S2385" s="544"/>
    </row>
    <row r="2386" ht="14.25" customHeight="1">
      <c r="A2386" s="542"/>
      <c r="B2386" s="543"/>
      <c r="C2386" s="543"/>
      <c r="D2386" s="544"/>
      <c r="E2386" s="544"/>
      <c r="F2386" s="544"/>
      <c r="G2386" s="544"/>
      <c r="H2386" s="544"/>
      <c r="I2386" s="543"/>
      <c r="J2386" s="543"/>
      <c r="K2386" s="544"/>
      <c r="L2386" s="543"/>
      <c r="M2386" s="544"/>
      <c r="N2386" s="543"/>
      <c r="O2386" s="544"/>
      <c r="P2386" s="544"/>
      <c r="Q2386" s="544"/>
      <c r="R2386" s="544"/>
      <c r="S2386" s="544"/>
    </row>
    <row r="2387" ht="14.25" customHeight="1">
      <c r="A2387" s="542"/>
      <c r="B2387" s="543"/>
      <c r="C2387" s="543"/>
      <c r="D2387" s="544"/>
      <c r="E2387" s="544"/>
      <c r="F2387" s="544"/>
      <c r="G2387" s="544"/>
      <c r="H2387" s="544"/>
      <c r="I2387" s="543"/>
      <c r="J2387" s="543"/>
      <c r="K2387" s="544"/>
      <c r="L2387" s="543"/>
      <c r="M2387" s="544"/>
      <c r="N2387" s="543"/>
      <c r="O2387" s="544"/>
      <c r="P2387" s="544"/>
      <c r="Q2387" s="544"/>
      <c r="R2387" s="544"/>
      <c r="S2387" s="544"/>
    </row>
    <row r="2388" ht="14.25" customHeight="1">
      <c r="A2388" s="542"/>
      <c r="B2388" s="543"/>
      <c r="C2388" s="543"/>
      <c r="D2388" s="544"/>
      <c r="E2388" s="544"/>
      <c r="F2388" s="544"/>
      <c r="G2388" s="544"/>
      <c r="H2388" s="544"/>
      <c r="I2388" s="543"/>
      <c r="J2388" s="543"/>
      <c r="K2388" s="544"/>
      <c r="L2388" s="543"/>
      <c r="M2388" s="544"/>
      <c r="N2388" s="543"/>
      <c r="O2388" s="544"/>
      <c r="P2388" s="544"/>
      <c r="Q2388" s="544"/>
      <c r="R2388" s="544"/>
      <c r="S2388" s="544"/>
    </row>
    <row r="2389" ht="14.25" customHeight="1">
      <c r="A2389" s="542"/>
      <c r="B2389" s="543"/>
      <c r="C2389" s="543"/>
      <c r="D2389" s="544"/>
      <c r="E2389" s="544"/>
      <c r="F2389" s="544"/>
      <c r="G2389" s="544"/>
      <c r="H2389" s="544"/>
      <c r="I2389" s="543"/>
      <c r="J2389" s="543"/>
      <c r="K2389" s="544"/>
      <c r="L2389" s="543"/>
      <c r="M2389" s="544"/>
      <c r="N2389" s="543"/>
      <c r="O2389" s="544"/>
      <c r="P2389" s="544"/>
      <c r="Q2389" s="544"/>
      <c r="R2389" s="544"/>
      <c r="S2389" s="544"/>
    </row>
    <row r="2390" ht="14.25" customHeight="1">
      <c r="A2390" s="542"/>
      <c r="B2390" s="543"/>
      <c r="C2390" s="543"/>
      <c r="D2390" s="544"/>
      <c r="E2390" s="544"/>
      <c r="F2390" s="544"/>
      <c r="G2390" s="544"/>
      <c r="H2390" s="544"/>
      <c r="I2390" s="543"/>
      <c r="J2390" s="543"/>
      <c r="K2390" s="544"/>
      <c r="L2390" s="543"/>
      <c r="M2390" s="544"/>
      <c r="N2390" s="543"/>
      <c r="O2390" s="544"/>
      <c r="P2390" s="544"/>
      <c r="Q2390" s="544"/>
      <c r="R2390" s="544"/>
      <c r="S2390" s="544"/>
    </row>
    <row r="2391" ht="14.25" customHeight="1">
      <c r="A2391" s="542"/>
      <c r="B2391" s="543"/>
      <c r="C2391" s="543"/>
      <c r="D2391" s="544"/>
      <c r="E2391" s="544"/>
      <c r="F2391" s="544"/>
      <c r="G2391" s="544"/>
      <c r="H2391" s="544"/>
      <c r="I2391" s="543"/>
      <c r="J2391" s="543"/>
      <c r="K2391" s="544"/>
      <c r="L2391" s="543"/>
      <c r="M2391" s="544"/>
      <c r="N2391" s="543"/>
      <c r="O2391" s="544"/>
      <c r="P2391" s="544"/>
      <c r="Q2391" s="544"/>
      <c r="R2391" s="544"/>
      <c r="S2391" s="544"/>
    </row>
    <row r="2392" ht="14.25" customHeight="1">
      <c r="A2392" s="542"/>
      <c r="B2392" s="543"/>
      <c r="C2392" s="543"/>
      <c r="D2392" s="544"/>
      <c r="E2392" s="544"/>
      <c r="F2392" s="544"/>
      <c r="G2392" s="544"/>
      <c r="H2392" s="544"/>
      <c r="I2392" s="543"/>
      <c r="J2392" s="543"/>
      <c r="K2392" s="544"/>
      <c r="L2392" s="543"/>
      <c r="M2392" s="544"/>
      <c r="N2392" s="543"/>
      <c r="O2392" s="544"/>
      <c r="P2392" s="544"/>
      <c r="Q2392" s="544"/>
      <c r="R2392" s="544"/>
      <c r="S2392" s="544"/>
    </row>
    <row r="2393" ht="14.25" customHeight="1">
      <c r="A2393" s="542"/>
      <c r="B2393" s="543"/>
      <c r="C2393" s="543"/>
      <c r="D2393" s="544"/>
      <c r="E2393" s="544"/>
      <c r="F2393" s="544"/>
      <c r="G2393" s="544"/>
      <c r="H2393" s="544"/>
      <c r="I2393" s="543"/>
      <c r="J2393" s="543"/>
      <c r="K2393" s="544"/>
      <c r="L2393" s="543"/>
      <c r="M2393" s="544"/>
      <c r="N2393" s="543"/>
      <c r="O2393" s="544"/>
      <c r="P2393" s="544"/>
      <c r="Q2393" s="544"/>
      <c r="R2393" s="544"/>
      <c r="S2393" s="544"/>
    </row>
    <row r="2394" ht="14.25" customHeight="1">
      <c r="A2394" s="542"/>
      <c r="B2394" s="543"/>
      <c r="C2394" s="543"/>
      <c r="D2394" s="544"/>
      <c r="E2394" s="544"/>
      <c r="F2394" s="544"/>
      <c r="G2394" s="544"/>
      <c r="H2394" s="544"/>
      <c r="I2394" s="543"/>
      <c r="J2394" s="543"/>
      <c r="K2394" s="544"/>
      <c r="L2394" s="543"/>
      <c r="M2394" s="544"/>
      <c r="N2394" s="543"/>
      <c r="O2394" s="544"/>
      <c r="P2394" s="544"/>
      <c r="Q2394" s="544"/>
      <c r="R2394" s="544"/>
      <c r="S2394" s="544"/>
    </row>
    <row r="2395" ht="14.25" customHeight="1">
      <c r="A2395" s="542"/>
      <c r="B2395" s="543"/>
      <c r="C2395" s="543"/>
      <c r="D2395" s="544"/>
      <c r="E2395" s="544"/>
      <c r="F2395" s="544"/>
      <c r="G2395" s="544"/>
      <c r="H2395" s="544"/>
      <c r="I2395" s="543"/>
      <c r="J2395" s="543"/>
      <c r="K2395" s="544"/>
      <c r="L2395" s="543"/>
      <c r="M2395" s="544"/>
      <c r="N2395" s="543"/>
      <c r="O2395" s="544"/>
      <c r="P2395" s="544"/>
      <c r="Q2395" s="544"/>
      <c r="R2395" s="544"/>
      <c r="S2395" s="544"/>
    </row>
    <row r="2396" ht="14.25" customHeight="1">
      <c r="A2396" s="542"/>
      <c r="B2396" s="543"/>
      <c r="C2396" s="543"/>
      <c r="D2396" s="544"/>
      <c r="E2396" s="544"/>
      <c r="F2396" s="544"/>
      <c r="G2396" s="544"/>
      <c r="H2396" s="544"/>
      <c r="I2396" s="543"/>
      <c r="J2396" s="543"/>
      <c r="K2396" s="544"/>
      <c r="L2396" s="543"/>
      <c r="M2396" s="544"/>
      <c r="N2396" s="543"/>
      <c r="O2396" s="544"/>
      <c r="P2396" s="544"/>
      <c r="Q2396" s="544"/>
      <c r="R2396" s="544"/>
      <c r="S2396" s="544"/>
    </row>
    <row r="2397" ht="14.25" customHeight="1">
      <c r="A2397" s="542"/>
      <c r="B2397" s="543"/>
      <c r="C2397" s="543"/>
      <c r="D2397" s="544"/>
      <c r="E2397" s="544"/>
      <c r="F2397" s="544"/>
      <c r="G2397" s="544"/>
      <c r="H2397" s="544"/>
      <c r="I2397" s="543"/>
      <c r="J2397" s="543"/>
      <c r="K2397" s="544"/>
      <c r="L2397" s="543"/>
      <c r="M2397" s="544"/>
      <c r="N2397" s="543"/>
      <c r="O2397" s="544"/>
      <c r="P2397" s="544"/>
      <c r="Q2397" s="544"/>
      <c r="R2397" s="544"/>
      <c r="S2397" s="544"/>
    </row>
    <row r="2398" ht="14.25" customHeight="1">
      <c r="A2398" s="542"/>
      <c r="B2398" s="543"/>
      <c r="C2398" s="543"/>
      <c r="D2398" s="544"/>
      <c r="E2398" s="544"/>
      <c r="F2398" s="544"/>
      <c r="G2398" s="544"/>
      <c r="H2398" s="544"/>
      <c r="I2398" s="543"/>
      <c r="J2398" s="543"/>
      <c r="K2398" s="544"/>
      <c r="L2398" s="543"/>
      <c r="M2398" s="544"/>
      <c r="N2398" s="543"/>
      <c r="O2398" s="544"/>
      <c r="P2398" s="544"/>
      <c r="Q2398" s="544"/>
      <c r="R2398" s="544"/>
      <c r="S2398" s="544"/>
    </row>
    <row r="2399" ht="14.25" customHeight="1">
      <c r="A2399" s="542"/>
      <c r="B2399" s="543"/>
      <c r="C2399" s="543"/>
      <c r="D2399" s="544"/>
      <c r="E2399" s="544"/>
      <c r="F2399" s="544"/>
      <c r="G2399" s="544"/>
      <c r="H2399" s="544"/>
      <c r="I2399" s="543"/>
      <c r="J2399" s="543"/>
      <c r="K2399" s="544"/>
      <c r="L2399" s="543"/>
      <c r="M2399" s="544"/>
      <c r="N2399" s="543"/>
      <c r="O2399" s="544"/>
      <c r="P2399" s="544"/>
      <c r="Q2399" s="544"/>
      <c r="R2399" s="544"/>
      <c r="S2399" s="544"/>
    </row>
    <row r="2400" ht="14.25" customHeight="1">
      <c r="A2400" s="542"/>
      <c r="B2400" s="543"/>
      <c r="C2400" s="543"/>
      <c r="D2400" s="544"/>
      <c r="E2400" s="544"/>
      <c r="F2400" s="544"/>
      <c r="G2400" s="544"/>
      <c r="H2400" s="544"/>
      <c r="I2400" s="543"/>
      <c r="J2400" s="543"/>
      <c r="K2400" s="544"/>
      <c r="L2400" s="543"/>
      <c r="M2400" s="544"/>
      <c r="N2400" s="543"/>
      <c r="O2400" s="544"/>
      <c r="P2400" s="544"/>
      <c r="Q2400" s="544"/>
      <c r="R2400" s="544"/>
      <c r="S2400" s="544"/>
    </row>
    <row r="2401" ht="14.25" customHeight="1">
      <c r="A2401" s="542"/>
      <c r="B2401" s="543"/>
      <c r="C2401" s="543"/>
      <c r="D2401" s="544"/>
      <c r="E2401" s="544"/>
      <c r="F2401" s="544"/>
      <c r="G2401" s="544"/>
      <c r="H2401" s="544"/>
      <c r="I2401" s="543"/>
      <c r="J2401" s="543"/>
      <c r="K2401" s="544"/>
      <c r="L2401" s="543"/>
      <c r="M2401" s="544"/>
      <c r="N2401" s="543"/>
      <c r="O2401" s="544"/>
      <c r="P2401" s="544"/>
      <c r="Q2401" s="544"/>
      <c r="R2401" s="544"/>
      <c r="S2401" s="544"/>
    </row>
    <row r="2402" ht="14.25" customHeight="1">
      <c r="A2402" s="542"/>
      <c r="B2402" s="543"/>
      <c r="C2402" s="543"/>
      <c r="D2402" s="544"/>
      <c r="E2402" s="544"/>
      <c r="F2402" s="544"/>
      <c r="G2402" s="544"/>
      <c r="H2402" s="544"/>
      <c r="I2402" s="543"/>
      <c r="J2402" s="543"/>
      <c r="K2402" s="544"/>
      <c r="L2402" s="543"/>
      <c r="M2402" s="544"/>
      <c r="N2402" s="543"/>
      <c r="O2402" s="544"/>
      <c r="P2402" s="544"/>
      <c r="Q2402" s="544"/>
      <c r="R2402" s="544"/>
      <c r="S2402" s="544"/>
    </row>
    <row r="2403" ht="14.25" customHeight="1">
      <c r="A2403" s="542"/>
      <c r="B2403" s="543"/>
      <c r="C2403" s="543"/>
      <c r="D2403" s="544"/>
      <c r="E2403" s="544"/>
      <c r="F2403" s="544"/>
      <c r="G2403" s="544"/>
      <c r="H2403" s="544"/>
      <c r="I2403" s="543"/>
      <c r="J2403" s="543"/>
      <c r="K2403" s="544"/>
      <c r="L2403" s="543"/>
      <c r="M2403" s="544"/>
      <c r="N2403" s="543"/>
      <c r="O2403" s="544"/>
      <c r="P2403" s="544"/>
      <c r="Q2403" s="544"/>
      <c r="R2403" s="544"/>
      <c r="S2403" s="544"/>
    </row>
    <row r="2404" ht="14.25" customHeight="1">
      <c r="A2404" s="542"/>
      <c r="B2404" s="543"/>
      <c r="C2404" s="543"/>
      <c r="D2404" s="544"/>
      <c r="E2404" s="544"/>
      <c r="F2404" s="544"/>
      <c r="G2404" s="544"/>
      <c r="H2404" s="544"/>
      <c r="I2404" s="543"/>
      <c r="J2404" s="543"/>
      <c r="K2404" s="544"/>
      <c r="L2404" s="543"/>
      <c r="M2404" s="544"/>
      <c r="N2404" s="543"/>
      <c r="O2404" s="544"/>
      <c r="P2404" s="544"/>
      <c r="Q2404" s="544"/>
      <c r="R2404" s="544"/>
      <c r="S2404" s="544"/>
    </row>
    <row r="2405" ht="14.25" customHeight="1">
      <c r="A2405" s="542"/>
      <c r="B2405" s="543"/>
      <c r="C2405" s="543"/>
      <c r="D2405" s="544"/>
      <c r="E2405" s="544"/>
      <c r="F2405" s="544"/>
      <c r="G2405" s="544"/>
      <c r="H2405" s="544"/>
      <c r="I2405" s="543"/>
      <c r="J2405" s="543"/>
      <c r="K2405" s="544"/>
      <c r="L2405" s="543"/>
      <c r="M2405" s="544"/>
      <c r="N2405" s="543"/>
      <c r="O2405" s="544"/>
      <c r="P2405" s="544"/>
      <c r="Q2405" s="544"/>
      <c r="R2405" s="544"/>
      <c r="S2405" s="544"/>
    </row>
    <row r="2406" ht="14.25" customHeight="1">
      <c r="A2406" s="542"/>
      <c r="B2406" s="543"/>
      <c r="C2406" s="543"/>
      <c r="D2406" s="544"/>
      <c r="E2406" s="544"/>
      <c r="F2406" s="544"/>
      <c r="G2406" s="544"/>
      <c r="H2406" s="544"/>
      <c r="I2406" s="543"/>
      <c r="J2406" s="543"/>
      <c r="K2406" s="544"/>
      <c r="L2406" s="543"/>
      <c r="M2406" s="544"/>
      <c r="N2406" s="543"/>
      <c r="O2406" s="544"/>
      <c r="P2406" s="544"/>
      <c r="Q2406" s="544"/>
      <c r="R2406" s="544"/>
      <c r="S2406" s="544"/>
    </row>
    <row r="2407" ht="14.25" customHeight="1">
      <c r="A2407" s="542"/>
      <c r="B2407" s="543"/>
      <c r="C2407" s="543"/>
      <c r="D2407" s="544"/>
      <c r="E2407" s="544"/>
      <c r="F2407" s="544"/>
      <c r="G2407" s="544"/>
      <c r="H2407" s="544"/>
      <c r="I2407" s="543"/>
      <c r="J2407" s="543"/>
      <c r="K2407" s="544"/>
      <c r="L2407" s="543"/>
      <c r="M2407" s="544"/>
      <c r="N2407" s="543"/>
      <c r="O2407" s="544"/>
      <c r="P2407" s="544"/>
      <c r="Q2407" s="544"/>
      <c r="R2407" s="544"/>
      <c r="S2407" s="544"/>
    </row>
    <row r="2408" ht="14.25" customHeight="1">
      <c r="A2408" s="542"/>
      <c r="B2408" s="543"/>
      <c r="C2408" s="543"/>
      <c r="D2408" s="544"/>
      <c r="E2408" s="544"/>
      <c r="F2408" s="544"/>
      <c r="G2408" s="544"/>
      <c r="H2408" s="544"/>
      <c r="I2408" s="543"/>
      <c r="J2408" s="543"/>
      <c r="K2408" s="544"/>
      <c r="L2408" s="543"/>
      <c r="M2408" s="544"/>
      <c r="N2408" s="543"/>
      <c r="O2408" s="544"/>
      <c r="P2408" s="544"/>
      <c r="Q2408" s="544"/>
      <c r="R2408" s="544"/>
      <c r="S2408" s="544"/>
    </row>
    <row r="2409" ht="14.25" customHeight="1">
      <c r="A2409" s="542"/>
      <c r="B2409" s="543"/>
      <c r="C2409" s="543"/>
      <c r="D2409" s="544"/>
      <c r="E2409" s="544"/>
      <c r="F2409" s="544"/>
      <c r="G2409" s="544"/>
      <c r="H2409" s="544"/>
      <c r="I2409" s="543"/>
      <c r="J2409" s="543"/>
      <c r="K2409" s="544"/>
      <c r="L2409" s="543"/>
      <c r="M2409" s="544"/>
      <c r="N2409" s="543"/>
      <c r="O2409" s="544"/>
      <c r="P2409" s="544"/>
      <c r="Q2409" s="544"/>
      <c r="R2409" s="544"/>
      <c r="S2409" s="544"/>
    </row>
    <row r="2410" ht="14.25" customHeight="1">
      <c r="A2410" s="542"/>
      <c r="B2410" s="543"/>
      <c r="C2410" s="543"/>
      <c r="D2410" s="544"/>
      <c r="E2410" s="544"/>
      <c r="F2410" s="544"/>
      <c r="G2410" s="544"/>
      <c r="H2410" s="544"/>
      <c r="I2410" s="543"/>
      <c r="J2410" s="543"/>
      <c r="K2410" s="544"/>
      <c r="L2410" s="543"/>
      <c r="M2410" s="544"/>
      <c r="N2410" s="543"/>
      <c r="O2410" s="544"/>
      <c r="P2410" s="544"/>
      <c r="Q2410" s="544"/>
      <c r="R2410" s="544"/>
      <c r="S2410" s="544"/>
    </row>
    <row r="2411" ht="14.25" customHeight="1">
      <c r="A2411" s="542"/>
      <c r="B2411" s="543"/>
      <c r="C2411" s="543"/>
      <c r="D2411" s="544"/>
      <c r="E2411" s="544"/>
      <c r="F2411" s="544"/>
      <c r="G2411" s="544"/>
      <c r="H2411" s="544"/>
      <c r="I2411" s="543"/>
      <c r="J2411" s="543"/>
      <c r="K2411" s="544"/>
      <c r="L2411" s="543"/>
      <c r="M2411" s="544"/>
      <c r="N2411" s="543"/>
      <c r="O2411" s="544"/>
      <c r="P2411" s="544"/>
      <c r="Q2411" s="544"/>
      <c r="R2411" s="544"/>
      <c r="S2411" s="544"/>
    </row>
    <row r="2412" ht="14.25" customHeight="1">
      <c r="A2412" s="542"/>
      <c r="B2412" s="543"/>
      <c r="C2412" s="543"/>
      <c r="D2412" s="544"/>
      <c r="E2412" s="544"/>
      <c r="F2412" s="544"/>
      <c r="G2412" s="544"/>
      <c r="H2412" s="544"/>
      <c r="I2412" s="543"/>
      <c r="J2412" s="543"/>
      <c r="K2412" s="544"/>
      <c r="L2412" s="543"/>
      <c r="M2412" s="544"/>
      <c r="N2412" s="543"/>
      <c r="O2412" s="544"/>
      <c r="P2412" s="544"/>
      <c r="Q2412" s="544"/>
      <c r="R2412" s="544"/>
      <c r="S2412" s="544"/>
    </row>
    <row r="2413" ht="14.25" customHeight="1">
      <c r="A2413" s="542"/>
      <c r="B2413" s="543"/>
      <c r="C2413" s="543"/>
      <c r="D2413" s="544"/>
      <c r="E2413" s="544"/>
      <c r="F2413" s="544"/>
      <c r="G2413" s="544"/>
      <c r="H2413" s="544"/>
      <c r="I2413" s="543"/>
      <c r="J2413" s="543"/>
      <c r="K2413" s="544"/>
      <c r="L2413" s="543"/>
      <c r="M2413" s="544"/>
      <c r="N2413" s="543"/>
      <c r="O2413" s="544"/>
      <c r="P2413" s="544"/>
      <c r="Q2413" s="544"/>
      <c r="R2413" s="544"/>
      <c r="S2413" s="544"/>
    </row>
    <row r="2414" ht="14.25" customHeight="1">
      <c r="A2414" s="542"/>
      <c r="B2414" s="543"/>
      <c r="C2414" s="543"/>
      <c r="D2414" s="544"/>
      <c r="E2414" s="544"/>
      <c r="F2414" s="544"/>
      <c r="G2414" s="544"/>
      <c r="H2414" s="544"/>
      <c r="I2414" s="543"/>
      <c r="J2414" s="543"/>
      <c r="K2414" s="544"/>
      <c r="L2414" s="543"/>
      <c r="M2414" s="544"/>
      <c r="N2414" s="543"/>
      <c r="O2414" s="544"/>
      <c r="P2414" s="544"/>
      <c r="Q2414" s="544"/>
      <c r="R2414" s="544"/>
      <c r="S2414" s="544"/>
    </row>
    <row r="2415" ht="14.25" customHeight="1">
      <c r="A2415" s="542"/>
      <c r="B2415" s="543"/>
      <c r="C2415" s="543"/>
      <c r="D2415" s="544"/>
      <c r="E2415" s="544"/>
      <c r="F2415" s="544"/>
      <c r="G2415" s="544"/>
      <c r="H2415" s="544"/>
      <c r="I2415" s="543"/>
      <c r="J2415" s="543"/>
      <c r="K2415" s="544"/>
      <c r="L2415" s="543"/>
      <c r="M2415" s="544"/>
      <c r="N2415" s="543"/>
      <c r="O2415" s="544"/>
      <c r="P2415" s="544"/>
      <c r="Q2415" s="544"/>
      <c r="R2415" s="544"/>
      <c r="S2415" s="544"/>
    </row>
    <row r="2416" ht="14.25" customHeight="1">
      <c r="A2416" s="542"/>
      <c r="B2416" s="543"/>
      <c r="C2416" s="543"/>
      <c r="D2416" s="544"/>
      <c r="E2416" s="544"/>
      <c r="F2416" s="544"/>
      <c r="G2416" s="544"/>
      <c r="H2416" s="544"/>
      <c r="I2416" s="543"/>
      <c r="J2416" s="543"/>
      <c r="K2416" s="544"/>
      <c r="L2416" s="543"/>
      <c r="M2416" s="544"/>
      <c r="N2416" s="543"/>
      <c r="O2416" s="544"/>
      <c r="P2416" s="544"/>
      <c r="Q2416" s="544"/>
      <c r="R2416" s="544"/>
      <c r="S2416" s="544"/>
    </row>
    <row r="2417" ht="14.25" customHeight="1">
      <c r="A2417" s="542"/>
      <c r="B2417" s="543"/>
      <c r="C2417" s="543"/>
      <c r="D2417" s="544"/>
      <c r="E2417" s="544"/>
      <c r="F2417" s="544"/>
      <c r="G2417" s="544"/>
      <c r="H2417" s="544"/>
      <c r="I2417" s="543"/>
      <c r="J2417" s="543"/>
      <c r="K2417" s="544"/>
      <c r="L2417" s="543"/>
      <c r="M2417" s="544"/>
      <c r="N2417" s="543"/>
      <c r="O2417" s="544"/>
      <c r="P2417" s="544"/>
      <c r="Q2417" s="544"/>
      <c r="R2417" s="544"/>
      <c r="S2417" s="544"/>
    </row>
    <row r="2418" ht="14.25" customHeight="1">
      <c r="A2418" s="542"/>
      <c r="B2418" s="543"/>
      <c r="C2418" s="543"/>
      <c r="D2418" s="544"/>
      <c r="E2418" s="544"/>
      <c r="F2418" s="544"/>
      <c r="G2418" s="544"/>
      <c r="H2418" s="544"/>
      <c r="I2418" s="543"/>
      <c r="J2418" s="543"/>
      <c r="K2418" s="544"/>
      <c r="L2418" s="543"/>
      <c r="M2418" s="544"/>
      <c r="N2418" s="543"/>
      <c r="O2418" s="544"/>
      <c r="P2418" s="544"/>
      <c r="Q2418" s="544"/>
      <c r="R2418" s="544"/>
      <c r="S2418" s="544"/>
    </row>
    <row r="2419" ht="14.25" customHeight="1">
      <c r="A2419" s="542"/>
      <c r="B2419" s="543"/>
      <c r="C2419" s="543"/>
      <c r="D2419" s="544"/>
      <c r="E2419" s="544"/>
      <c r="F2419" s="544"/>
      <c r="G2419" s="544"/>
      <c r="H2419" s="544"/>
      <c r="I2419" s="543"/>
      <c r="J2419" s="543"/>
      <c r="K2419" s="544"/>
      <c r="L2419" s="543"/>
      <c r="M2419" s="544"/>
      <c r="N2419" s="543"/>
      <c r="O2419" s="544"/>
      <c r="P2419" s="544"/>
      <c r="Q2419" s="544"/>
      <c r="R2419" s="544"/>
      <c r="S2419" s="544"/>
    </row>
    <row r="2420" ht="14.25" customHeight="1">
      <c r="A2420" s="542"/>
      <c r="B2420" s="543"/>
      <c r="C2420" s="543"/>
      <c r="D2420" s="544"/>
      <c r="E2420" s="544"/>
      <c r="F2420" s="544"/>
      <c r="G2420" s="544"/>
      <c r="H2420" s="544"/>
      <c r="I2420" s="543"/>
      <c r="J2420" s="543"/>
      <c r="K2420" s="544"/>
      <c r="L2420" s="543"/>
      <c r="M2420" s="544"/>
      <c r="N2420" s="543"/>
      <c r="O2420" s="544"/>
      <c r="P2420" s="544"/>
      <c r="Q2420" s="544"/>
      <c r="R2420" s="544"/>
      <c r="S2420" s="544"/>
    </row>
    <row r="2421" ht="14.25" customHeight="1">
      <c r="A2421" s="542"/>
      <c r="B2421" s="543"/>
      <c r="C2421" s="543"/>
      <c r="D2421" s="544"/>
      <c r="E2421" s="544"/>
      <c r="F2421" s="544"/>
      <c r="G2421" s="544"/>
      <c r="H2421" s="544"/>
      <c r="I2421" s="543"/>
      <c r="J2421" s="543"/>
      <c r="K2421" s="544"/>
      <c r="L2421" s="543"/>
      <c r="M2421" s="544"/>
      <c r="N2421" s="543"/>
      <c r="O2421" s="544"/>
      <c r="P2421" s="544"/>
      <c r="Q2421" s="544"/>
      <c r="R2421" s="544"/>
      <c r="S2421" s="544"/>
    </row>
    <row r="2422" ht="14.25" customHeight="1">
      <c r="A2422" s="542"/>
      <c r="B2422" s="543"/>
      <c r="C2422" s="543"/>
      <c r="D2422" s="544"/>
      <c r="E2422" s="544"/>
      <c r="F2422" s="544"/>
      <c r="G2422" s="544"/>
      <c r="H2422" s="544"/>
      <c r="I2422" s="543"/>
      <c r="J2422" s="543"/>
      <c r="K2422" s="544"/>
      <c r="L2422" s="543"/>
      <c r="M2422" s="544"/>
      <c r="N2422" s="543"/>
      <c r="O2422" s="544"/>
      <c r="P2422" s="544"/>
      <c r="Q2422" s="544"/>
      <c r="R2422" s="544"/>
      <c r="S2422" s="544"/>
    </row>
    <row r="2423" ht="14.25" customHeight="1">
      <c r="A2423" s="542"/>
      <c r="B2423" s="543"/>
      <c r="C2423" s="543"/>
      <c r="D2423" s="544"/>
      <c r="E2423" s="544"/>
      <c r="F2423" s="544"/>
      <c r="G2423" s="544"/>
      <c r="H2423" s="544"/>
      <c r="I2423" s="543"/>
      <c r="J2423" s="543"/>
      <c r="K2423" s="544"/>
      <c r="L2423" s="543"/>
      <c r="M2423" s="544"/>
      <c r="N2423" s="543"/>
      <c r="O2423" s="544"/>
      <c r="P2423" s="544"/>
      <c r="Q2423" s="544"/>
      <c r="R2423" s="544"/>
      <c r="S2423" s="544"/>
    </row>
    <row r="2424" ht="14.25" customHeight="1">
      <c r="A2424" s="542"/>
      <c r="B2424" s="543"/>
      <c r="C2424" s="543"/>
      <c r="D2424" s="544"/>
      <c r="E2424" s="544"/>
      <c r="F2424" s="544"/>
      <c r="G2424" s="544"/>
      <c r="H2424" s="544"/>
      <c r="I2424" s="543"/>
      <c r="J2424" s="543"/>
      <c r="K2424" s="544"/>
      <c r="L2424" s="543"/>
      <c r="M2424" s="544"/>
      <c r="N2424" s="543"/>
      <c r="O2424" s="544"/>
      <c r="P2424" s="544"/>
      <c r="Q2424" s="544"/>
      <c r="R2424" s="544"/>
      <c r="S2424" s="544"/>
    </row>
    <row r="2425" ht="14.25" customHeight="1">
      <c r="A2425" s="542"/>
      <c r="B2425" s="543"/>
      <c r="C2425" s="543"/>
      <c r="D2425" s="544"/>
      <c r="E2425" s="544"/>
      <c r="F2425" s="544"/>
      <c r="G2425" s="544"/>
      <c r="H2425" s="544"/>
      <c r="I2425" s="543"/>
      <c r="J2425" s="543"/>
      <c r="K2425" s="544"/>
      <c r="L2425" s="543"/>
      <c r="M2425" s="544"/>
      <c r="N2425" s="543"/>
      <c r="O2425" s="544"/>
      <c r="P2425" s="544"/>
      <c r="Q2425" s="544"/>
      <c r="R2425" s="544"/>
      <c r="S2425" s="544"/>
    </row>
    <row r="2426" ht="14.25" customHeight="1">
      <c r="A2426" s="542"/>
      <c r="B2426" s="543"/>
      <c r="C2426" s="543"/>
      <c r="D2426" s="544"/>
      <c r="E2426" s="544"/>
      <c r="F2426" s="544"/>
      <c r="G2426" s="544"/>
      <c r="H2426" s="544"/>
      <c r="I2426" s="543"/>
      <c r="J2426" s="543"/>
      <c r="K2426" s="544"/>
      <c r="L2426" s="543"/>
      <c r="M2426" s="544"/>
      <c r="N2426" s="543"/>
      <c r="O2426" s="544"/>
      <c r="P2426" s="544"/>
      <c r="Q2426" s="544"/>
      <c r="R2426" s="544"/>
      <c r="S2426" s="544"/>
    </row>
    <row r="2427" ht="14.25" customHeight="1">
      <c r="A2427" s="542"/>
      <c r="B2427" s="543"/>
      <c r="C2427" s="543"/>
      <c r="D2427" s="544"/>
      <c r="E2427" s="544"/>
      <c r="F2427" s="544"/>
      <c r="G2427" s="544"/>
      <c r="H2427" s="544"/>
      <c r="I2427" s="543"/>
      <c r="J2427" s="543"/>
      <c r="K2427" s="544"/>
      <c r="L2427" s="543"/>
      <c r="M2427" s="544"/>
      <c r="N2427" s="543"/>
      <c r="O2427" s="544"/>
      <c r="P2427" s="544"/>
      <c r="Q2427" s="544"/>
      <c r="R2427" s="544"/>
      <c r="S2427" s="544"/>
    </row>
    <row r="2428" ht="14.25" customHeight="1">
      <c r="A2428" s="542"/>
      <c r="B2428" s="543"/>
      <c r="C2428" s="543"/>
      <c r="D2428" s="544"/>
      <c r="E2428" s="544"/>
      <c r="F2428" s="544"/>
      <c r="G2428" s="544"/>
      <c r="H2428" s="544"/>
      <c r="I2428" s="543"/>
      <c r="J2428" s="543"/>
      <c r="K2428" s="544"/>
      <c r="L2428" s="543"/>
      <c r="M2428" s="544"/>
      <c r="N2428" s="543"/>
      <c r="O2428" s="544"/>
      <c r="P2428" s="544"/>
      <c r="Q2428" s="544"/>
      <c r="R2428" s="544"/>
      <c r="S2428" s="544"/>
    </row>
    <row r="2429" ht="14.25" customHeight="1">
      <c r="A2429" s="542"/>
      <c r="B2429" s="543"/>
      <c r="C2429" s="543"/>
      <c r="D2429" s="544"/>
      <c r="E2429" s="544"/>
      <c r="F2429" s="544"/>
      <c r="G2429" s="544"/>
      <c r="H2429" s="544"/>
      <c r="I2429" s="543"/>
      <c r="J2429" s="543"/>
      <c r="K2429" s="544"/>
      <c r="L2429" s="543"/>
      <c r="M2429" s="544"/>
      <c r="N2429" s="543"/>
      <c r="O2429" s="544"/>
      <c r="P2429" s="544"/>
      <c r="Q2429" s="544"/>
      <c r="R2429" s="544"/>
      <c r="S2429" s="544"/>
    </row>
    <row r="2430" ht="14.25" customHeight="1">
      <c r="A2430" s="542"/>
      <c r="B2430" s="543"/>
      <c r="C2430" s="543"/>
      <c r="D2430" s="544"/>
      <c r="E2430" s="544"/>
      <c r="F2430" s="544"/>
      <c r="G2430" s="544"/>
      <c r="H2430" s="544"/>
      <c r="I2430" s="543"/>
      <c r="J2430" s="543"/>
      <c r="K2430" s="544"/>
      <c r="L2430" s="543"/>
      <c r="M2430" s="544"/>
      <c r="N2430" s="543"/>
      <c r="O2430" s="544"/>
      <c r="P2430" s="544"/>
      <c r="Q2430" s="544"/>
      <c r="R2430" s="544"/>
      <c r="S2430" s="544"/>
    </row>
    <row r="2431" ht="14.25" customHeight="1">
      <c r="A2431" s="542"/>
      <c r="B2431" s="543"/>
      <c r="C2431" s="543"/>
      <c r="D2431" s="544"/>
      <c r="E2431" s="544"/>
      <c r="F2431" s="544"/>
      <c r="G2431" s="544"/>
      <c r="H2431" s="544"/>
      <c r="I2431" s="543"/>
      <c r="J2431" s="543"/>
      <c r="K2431" s="544"/>
      <c r="L2431" s="543"/>
      <c r="M2431" s="544"/>
      <c r="N2431" s="543"/>
      <c r="O2431" s="544"/>
      <c r="P2431" s="544"/>
      <c r="Q2431" s="544"/>
      <c r="R2431" s="544"/>
      <c r="S2431" s="544"/>
    </row>
    <row r="2432" ht="14.25" customHeight="1">
      <c r="A2432" s="542"/>
      <c r="B2432" s="543"/>
      <c r="C2432" s="543"/>
      <c r="D2432" s="544"/>
      <c r="E2432" s="544"/>
      <c r="F2432" s="544"/>
      <c r="G2432" s="544"/>
      <c r="H2432" s="544"/>
      <c r="I2432" s="543"/>
      <c r="J2432" s="543"/>
      <c r="K2432" s="544"/>
      <c r="L2432" s="543"/>
      <c r="M2432" s="544"/>
      <c r="N2432" s="543"/>
      <c r="O2432" s="544"/>
      <c r="P2432" s="544"/>
      <c r="Q2432" s="544"/>
      <c r="R2432" s="544"/>
      <c r="S2432" s="544"/>
    </row>
    <row r="2433" ht="14.25" customHeight="1">
      <c r="A2433" s="542"/>
      <c r="B2433" s="543"/>
      <c r="C2433" s="543"/>
      <c r="D2433" s="544"/>
      <c r="E2433" s="544"/>
      <c r="F2433" s="544"/>
      <c r="G2433" s="544"/>
      <c r="H2433" s="544"/>
      <c r="I2433" s="543"/>
      <c r="J2433" s="543"/>
      <c r="K2433" s="544"/>
      <c r="L2433" s="543"/>
      <c r="M2433" s="544"/>
      <c r="N2433" s="543"/>
      <c r="O2433" s="544"/>
      <c r="P2433" s="544"/>
      <c r="Q2433" s="544"/>
      <c r="R2433" s="544"/>
      <c r="S2433" s="544"/>
    </row>
    <row r="2434" ht="14.25" customHeight="1">
      <c r="A2434" s="542"/>
      <c r="B2434" s="543"/>
      <c r="C2434" s="543"/>
      <c r="D2434" s="544"/>
      <c r="E2434" s="544"/>
      <c r="F2434" s="544"/>
      <c r="G2434" s="544"/>
      <c r="H2434" s="544"/>
      <c r="I2434" s="543"/>
      <c r="J2434" s="543"/>
      <c r="K2434" s="544"/>
      <c r="L2434" s="543"/>
      <c r="M2434" s="544"/>
      <c r="N2434" s="543"/>
      <c r="O2434" s="544"/>
      <c r="P2434" s="544"/>
      <c r="Q2434" s="544"/>
      <c r="R2434" s="544"/>
      <c r="S2434" s="544"/>
    </row>
    <row r="2435" ht="14.25" customHeight="1">
      <c r="A2435" s="542"/>
      <c r="B2435" s="543"/>
      <c r="C2435" s="543"/>
      <c r="D2435" s="544"/>
      <c r="E2435" s="544"/>
      <c r="F2435" s="544"/>
      <c r="G2435" s="544"/>
      <c r="H2435" s="544"/>
      <c r="I2435" s="543"/>
      <c r="J2435" s="543"/>
      <c r="K2435" s="544"/>
      <c r="L2435" s="543"/>
      <c r="M2435" s="544"/>
      <c r="N2435" s="543"/>
      <c r="O2435" s="544"/>
      <c r="P2435" s="544"/>
      <c r="Q2435" s="544"/>
      <c r="R2435" s="544"/>
      <c r="S2435" s="544"/>
    </row>
    <row r="2436" ht="14.25" customHeight="1">
      <c r="A2436" s="542"/>
      <c r="B2436" s="543"/>
      <c r="C2436" s="543"/>
      <c r="D2436" s="544"/>
      <c r="E2436" s="544"/>
      <c r="F2436" s="544"/>
      <c r="G2436" s="544"/>
      <c r="H2436" s="544"/>
      <c r="I2436" s="543"/>
      <c r="J2436" s="543"/>
      <c r="K2436" s="544"/>
      <c r="L2436" s="543"/>
      <c r="M2436" s="544"/>
      <c r="N2436" s="543"/>
      <c r="O2436" s="544"/>
      <c r="P2436" s="544"/>
      <c r="Q2436" s="544"/>
      <c r="R2436" s="544"/>
      <c r="S2436" s="544"/>
    </row>
    <row r="2437" ht="14.25" customHeight="1">
      <c r="A2437" s="542"/>
      <c r="B2437" s="543"/>
      <c r="C2437" s="543"/>
      <c r="D2437" s="544"/>
      <c r="E2437" s="544"/>
      <c r="F2437" s="544"/>
      <c r="G2437" s="544"/>
      <c r="H2437" s="544"/>
      <c r="I2437" s="543"/>
      <c r="J2437" s="543"/>
      <c r="K2437" s="544"/>
      <c r="L2437" s="543"/>
      <c r="M2437" s="544"/>
      <c r="N2437" s="543"/>
      <c r="O2437" s="544"/>
      <c r="P2437" s="544"/>
      <c r="Q2437" s="544"/>
      <c r="R2437" s="544"/>
      <c r="S2437" s="544"/>
    </row>
    <row r="2438" ht="14.25" customHeight="1">
      <c r="A2438" s="542"/>
      <c r="B2438" s="543"/>
      <c r="C2438" s="543"/>
      <c r="D2438" s="544"/>
      <c r="E2438" s="544"/>
      <c r="F2438" s="544"/>
      <c r="G2438" s="544"/>
      <c r="H2438" s="544"/>
      <c r="I2438" s="543"/>
      <c r="J2438" s="543"/>
      <c r="K2438" s="544"/>
      <c r="L2438" s="543"/>
      <c r="M2438" s="544"/>
      <c r="N2438" s="543"/>
      <c r="O2438" s="544"/>
      <c r="P2438" s="544"/>
      <c r="Q2438" s="544"/>
      <c r="R2438" s="544"/>
      <c r="S2438" s="544"/>
    </row>
    <row r="2439" ht="14.25" customHeight="1">
      <c r="A2439" s="542"/>
      <c r="B2439" s="543"/>
      <c r="C2439" s="543"/>
      <c r="D2439" s="544"/>
      <c r="E2439" s="544"/>
      <c r="F2439" s="544"/>
      <c r="G2439" s="544"/>
      <c r="H2439" s="544"/>
      <c r="I2439" s="543"/>
      <c r="J2439" s="543"/>
      <c r="K2439" s="544"/>
      <c r="L2439" s="543"/>
      <c r="M2439" s="544"/>
      <c r="N2439" s="543"/>
      <c r="O2439" s="544"/>
      <c r="P2439" s="544"/>
      <c r="Q2439" s="544"/>
      <c r="R2439" s="544"/>
      <c r="S2439" s="544"/>
    </row>
    <row r="2440" ht="14.25" customHeight="1">
      <c r="A2440" s="542"/>
      <c r="B2440" s="543"/>
      <c r="C2440" s="543"/>
      <c r="D2440" s="544"/>
      <c r="E2440" s="544"/>
      <c r="F2440" s="544"/>
      <c r="G2440" s="544"/>
      <c r="H2440" s="544"/>
      <c r="I2440" s="543"/>
      <c r="J2440" s="543"/>
      <c r="K2440" s="544"/>
      <c r="L2440" s="543"/>
      <c r="M2440" s="544"/>
      <c r="N2440" s="543"/>
      <c r="O2440" s="544"/>
      <c r="P2440" s="544"/>
      <c r="Q2440" s="544"/>
      <c r="R2440" s="544"/>
      <c r="S2440" s="544"/>
    </row>
    <row r="2441" ht="14.25" customHeight="1">
      <c r="A2441" s="542"/>
      <c r="B2441" s="543"/>
      <c r="C2441" s="543"/>
      <c r="D2441" s="544"/>
      <c r="E2441" s="544"/>
      <c r="F2441" s="544"/>
      <c r="G2441" s="544"/>
      <c r="H2441" s="544"/>
      <c r="I2441" s="543"/>
      <c r="J2441" s="543"/>
      <c r="K2441" s="544"/>
      <c r="L2441" s="543"/>
      <c r="M2441" s="544"/>
      <c r="N2441" s="543"/>
      <c r="O2441" s="544"/>
      <c r="P2441" s="544"/>
      <c r="Q2441" s="544"/>
      <c r="R2441" s="544"/>
      <c r="S2441" s="544"/>
    </row>
    <row r="2442" ht="14.25" customHeight="1">
      <c r="A2442" s="542"/>
      <c r="B2442" s="543"/>
      <c r="C2442" s="543"/>
      <c r="D2442" s="544"/>
      <c r="E2442" s="544"/>
      <c r="F2442" s="544"/>
      <c r="G2442" s="544"/>
      <c r="H2442" s="544"/>
      <c r="I2442" s="543"/>
      <c r="J2442" s="543"/>
      <c r="K2442" s="544"/>
      <c r="L2442" s="543"/>
      <c r="M2442" s="544"/>
      <c r="N2442" s="543"/>
      <c r="O2442" s="544"/>
      <c r="P2442" s="544"/>
      <c r="Q2442" s="544"/>
      <c r="R2442" s="544"/>
      <c r="S2442" s="544"/>
    </row>
    <row r="2443" ht="14.25" customHeight="1">
      <c r="A2443" s="542"/>
      <c r="B2443" s="543"/>
      <c r="C2443" s="543"/>
      <c r="D2443" s="544"/>
      <c r="E2443" s="544"/>
      <c r="F2443" s="544"/>
      <c r="G2443" s="544"/>
      <c r="H2443" s="544"/>
      <c r="I2443" s="543"/>
      <c r="J2443" s="543"/>
      <c r="K2443" s="544"/>
      <c r="L2443" s="543"/>
      <c r="M2443" s="544"/>
      <c r="N2443" s="543"/>
      <c r="O2443" s="544"/>
      <c r="P2443" s="544"/>
      <c r="Q2443" s="544"/>
      <c r="R2443" s="544"/>
      <c r="S2443" s="544"/>
    </row>
    <row r="2444" ht="14.25" customHeight="1">
      <c r="A2444" s="542"/>
      <c r="B2444" s="543"/>
      <c r="C2444" s="543"/>
      <c r="D2444" s="544"/>
      <c r="E2444" s="544"/>
      <c r="F2444" s="544"/>
      <c r="G2444" s="544"/>
      <c r="H2444" s="544"/>
      <c r="I2444" s="543"/>
      <c r="J2444" s="543"/>
      <c r="K2444" s="544"/>
      <c r="L2444" s="543"/>
      <c r="M2444" s="544"/>
      <c r="N2444" s="543"/>
      <c r="O2444" s="544"/>
      <c r="P2444" s="544"/>
      <c r="Q2444" s="544"/>
      <c r="R2444" s="544"/>
      <c r="S2444" s="544"/>
    </row>
    <row r="2445" ht="14.25" customHeight="1">
      <c r="A2445" s="542"/>
      <c r="B2445" s="543"/>
      <c r="C2445" s="543"/>
      <c r="D2445" s="544"/>
      <c r="E2445" s="544"/>
      <c r="F2445" s="544"/>
      <c r="G2445" s="544"/>
      <c r="H2445" s="544"/>
      <c r="I2445" s="543"/>
      <c r="J2445" s="543"/>
      <c r="K2445" s="544"/>
      <c r="L2445" s="543"/>
      <c r="M2445" s="544"/>
      <c r="N2445" s="543"/>
      <c r="O2445" s="544"/>
      <c r="P2445" s="544"/>
      <c r="Q2445" s="544"/>
      <c r="R2445" s="544"/>
      <c r="S2445" s="544"/>
    </row>
    <row r="2446" ht="14.25" customHeight="1">
      <c r="A2446" s="542"/>
      <c r="B2446" s="543"/>
      <c r="C2446" s="543"/>
      <c r="D2446" s="544"/>
      <c r="E2446" s="544"/>
      <c r="F2446" s="544"/>
      <c r="G2446" s="544"/>
      <c r="H2446" s="544"/>
      <c r="I2446" s="543"/>
      <c r="J2446" s="543"/>
      <c r="K2446" s="544"/>
      <c r="L2446" s="543"/>
      <c r="M2446" s="544"/>
      <c r="N2446" s="543"/>
      <c r="O2446" s="544"/>
      <c r="P2446" s="544"/>
      <c r="Q2446" s="544"/>
      <c r="R2446" s="544"/>
      <c r="S2446" s="544"/>
    </row>
    <row r="2447" ht="14.25" customHeight="1">
      <c r="A2447" s="542"/>
      <c r="B2447" s="543"/>
      <c r="C2447" s="543"/>
      <c r="D2447" s="544"/>
      <c r="E2447" s="544"/>
      <c r="F2447" s="544"/>
      <c r="G2447" s="544"/>
      <c r="H2447" s="544"/>
      <c r="I2447" s="543"/>
      <c r="J2447" s="543"/>
      <c r="K2447" s="544"/>
      <c r="L2447" s="543"/>
      <c r="M2447" s="544"/>
      <c r="N2447" s="543"/>
      <c r="O2447" s="544"/>
      <c r="P2447" s="544"/>
      <c r="Q2447" s="544"/>
      <c r="R2447" s="544"/>
      <c r="S2447" s="544"/>
    </row>
    <row r="2448" ht="14.25" customHeight="1">
      <c r="A2448" s="542"/>
      <c r="B2448" s="543"/>
      <c r="C2448" s="543"/>
      <c r="D2448" s="544"/>
      <c r="E2448" s="544"/>
      <c r="F2448" s="544"/>
      <c r="G2448" s="544"/>
      <c r="H2448" s="544"/>
      <c r="I2448" s="543"/>
      <c r="J2448" s="543"/>
      <c r="K2448" s="544"/>
      <c r="L2448" s="543"/>
      <c r="M2448" s="544"/>
      <c r="N2448" s="543"/>
      <c r="O2448" s="544"/>
      <c r="P2448" s="544"/>
      <c r="Q2448" s="544"/>
      <c r="R2448" s="544"/>
      <c r="S2448" s="544"/>
    </row>
    <row r="2449" ht="14.25" customHeight="1">
      <c r="A2449" s="542"/>
      <c r="B2449" s="543"/>
      <c r="C2449" s="543"/>
      <c r="D2449" s="544"/>
      <c r="E2449" s="544"/>
      <c r="F2449" s="544"/>
      <c r="G2449" s="544"/>
      <c r="H2449" s="544"/>
      <c r="I2449" s="543"/>
      <c r="J2449" s="543"/>
      <c r="K2449" s="544"/>
      <c r="L2449" s="543"/>
      <c r="M2449" s="544"/>
      <c r="N2449" s="543"/>
      <c r="O2449" s="544"/>
      <c r="P2449" s="544"/>
      <c r="Q2449" s="544"/>
      <c r="R2449" s="544"/>
      <c r="S2449" s="544"/>
    </row>
    <row r="2450" ht="14.25" customHeight="1">
      <c r="A2450" s="542"/>
      <c r="B2450" s="543"/>
      <c r="C2450" s="543"/>
      <c r="D2450" s="544"/>
      <c r="E2450" s="544"/>
      <c r="F2450" s="544"/>
      <c r="G2450" s="544"/>
      <c r="H2450" s="544"/>
      <c r="I2450" s="543"/>
      <c r="J2450" s="543"/>
      <c r="K2450" s="544"/>
      <c r="L2450" s="543"/>
      <c r="M2450" s="544"/>
      <c r="N2450" s="543"/>
      <c r="O2450" s="544"/>
      <c r="P2450" s="544"/>
      <c r="Q2450" s="544"/>
      <c r="R2450" s="544"/>
      <c r="S2450" s="544"/>
    </row>
    <row r="2451" ht="14.25" customHeight="1">
      <c r="A2451" s="542"/>
      <c r="B2451" s="543"/>
      <c r="C2451" s="543"/>
      <c r="D2451" s="544"/>
      <c r="E2451" s="544"/>
      <c r="F2451" s="544"/>
      <c r="G2451" s="544"/>
      <c r="H2451" s="544"/>
      <c r="I2451" s="543"/>
      <c r="J2451" s="543"/>
      <c r="K2451" s="544"/>
      <c r="L2451" s="543"/>
      <c r="M2451" s="544"/>
      <c r="N2451" s="543"/>
      <c r="O2451" s="544"/>
      <c r="P2451" s="544"/>
      <c r="Q2451" s="544"/>
      <c r="R2451" s="544"/>
      <c r="S2451" s="544"/>
    </row>
    <row r="2452" ht="14.25" customHeight="1">
      <c r="A2452" s="542"/>
      <c r="B2452" s="543"/>
      <c r="C2452" s="543"/>
      <c r="D2452" s="544"/>
      <c r="E2452" s="544"/>
      <c r="F2452" s="544"/>
      <c r="G2452" s="544"/>
      <c r="H2452" s="544"/>
      <c r="I2452" s="543"/>
      <c r="J2452" s="543"/>
      <c r="K2452" s="544"/>
      <c r="L2452" s="543"/>
      <c r="M2452" s="544"/>
      <c r="N2452" s="543"/>
      <c r="O2452" s="544"/>
      <c r="P2452" s="544"/>
      <c r="Q2452" s="544"/>
      <c r="R2452" s="544"/>
      <c r="S2452" s="544"/>
    </row>
    <row r="2453" ht="14.25" customHeight="1">
      <c r="A2453" s="542"/>
      <c r="B2453" s="543"/>
      <c r="C2453" s="543"/>
      <c r="D2453" s="544"/>
      <c r="E2453" s="544"/>
      <c r="F2453" s="544"/>
      <c r="G2453" s="544"/>
      <c r="H2453" s="544"/>
      <c r="I2453" s="543"/>
      <c r="J2453" s="543"/>
      <c r="K2453" s="544"/>
      <c r="L2453" s="543"/>
      <c r="M2453" s="544"/>
      <c r="N2453" s="543"/>
      <c r="O2453" s="544"/>
      <c r="P2453" s="544"/>
      <c r="Q2453" s="544"/>
      <c r="R2453" s="544"/>
      <c r="S2453" s="544"/>
    </row>
    <row r="2454" ht="14.25" customHeight="1">
      <c r="A2454" s="542"/>
      <c r="B2454" s="543"/>
      <c r="C2454" s="543"/>
      <c r="D2454" s="544"/>
      <c r="E2454" s="544"/>
      <c r="F2454" s="544"/>
      <c r="G2454" s="544"/>
      <c r="H2454" s="544"/>
      <c r="I2454" s="543"/>
      <c r="J2454" s="543"/>
      <c r="K2454" s="544"/>
      <c r="L2454" s="543"/>
      <c r="M2454" s="544"/>
      <c r="N2454" s="543"/>
      <c r="O2454" s="544"/>
      <c r="P2454" s="544"/>
      <c r="Q2454" s="544"/>
      <c r="R2454" s="544"/>
      <c r="S2454" s="544"/>
    </row>
    <row r="2455" ht="14.25" customHeight="1">
      <c r="A2455" s="542"/>
      <c r="B2455" s="543"/>
      <c r="C2455" s="543"/>
      <c r="D2455" s="544"/>
      <c r="E2455" s="544"/>
      <c r="F2455" s="544"/>
      <c r="G2455" s="544"/>
      <c r="H2455" s="544"/>
      <c r="I2455" s="543"/>
      <c r="J2455" s="543"/>
      <c r="K2455" s="544"/>
      <c r="L2455" s="543"/>
      <c r="M2455" s="544"/>
      <c r="N2455" s="543"/>
      <c r="O2455" s="544"/>
      <c r="P2455" s="544"/>
      <c r="Q2455" s="544"/>
      <c r="R2455" s="544"/>
      <c r="S2455" s="544"/>
    </row>
    <row r="2456" ht="14.25" customHeight="1">
      <c r="A2456" s="542"/>
      <c r="B2456" s="543"/>
      <c r="C2456" s="543"/>
      <c r="D2456" s="544"/>
      <c r="E2456" s="544"/>
      <c r="F2456" s="544"/>
      <c r="G2456" s="544"/>
      <c r="H2456" s="544"/>
      <c r="I2456" s="543"/>
      <c r="J2456" s="543"/>
      <c r="K2456" s="544"/>
      <c r="L2456" s="543"/>
      <c r="M2456" s="544"/>
      <c r="N2456" s="543"/>
      <c r="O2456" s="544"/>
      <c r="P2456" s="544"/>
      <c r="Q2456" s="544"/>
      <c r="R2456" s="544"/>
      <c r="S2456" s="544"/>
    </row>
    <row r="2457" ht="14.25" customHeight="1">
      <c r="A2457" s="542"/>
      <c r="B2457" s="543"/>
      <c r="C2457" s="543"/>
      <c r="D2457" s="544"/>
      <c r="E2457" s="544"/>
      <c r="F2457" s="544"/>
      <c r="G2457" s="544"/>
      <c r="H2457" s="544"/>
      <c r="I2457" s="543"/>
      <c r="J2457" s="543"/>
      <c r="K2457" s="544"/>
      <c r="L2457" s="543"/>
      <c r="M2457" s="544"/>
      <c r="N2457" s="543"/>
      <c r="O2457" s="544"/>
      <c r="P2457" s="544"/>
      <c r="Q2457" s="544"/>
      <c r="R2457" s="544"/>
      <c r="S2457" s="544"/>
    </row>
    <row r="2458" ht="14.25" customHeight="1">
      <c r="A2458" s="542"/>
      <c r="B2458" s="543"/>
      <c r="C2458" s="543"/>
      <c r="D2458" s="544"/>
      <c r="E2458" s="544"/>
      <c r="F2458" s="544"/>
      <c r="G2458" s="544"/>
      <c r="H2458" s="544"/>
      <c r="I2458" s="543"/>
      <c r="J2458" s="543"/>
      <c r="K2458" s="544"/>
      <c r="L2458" s="543"/>
      <c r="M2458" s="544"/>
      <c r="N2458" s="543"/>
      <c r="O2458" s="544"/>
      <c r="P2458" s="544"/>
      <c r="Q2458" s="544"/>
      <c r="R2458" s="544"/>
      <c r="S2458" s="544"/>
    </row>
    <row r="2459" ht="14.25" customHeight="1">
      <c r="A2459" s="542"/>
      <c r="B2459" s="543"/>
      <c r="C2459" s="543"/>
      <c r="D2459" s="544"/>
      <c r="E2459" s="544"/>
      <c r="F2459" s="544"/>
      <c r="G2459" s="544"/>
      <c r="H2459" s="544"/>
      <c r="I2459" s="543"/>
      <c r="J2459" s="543"/>
      <c r="K2459" s="544"/>
      <c r="L2459" s="543"/>
      <c r="M2459" s="544"/>
      <c r="N2459" s="543"/>
      <c r="O2459" s="544"/>
      <c r="P2459" s="544"/>
      <c r="Q2459" s="544"/>
      <c r="R2459" s="544"/>
      <c r="S2459" s="544"/>
    </row>
    <row r="2460" ht="14.25" customHeight="1">
      <c r="A2460" s="542"/>
      <c r="B2460" s="543"/>
      <c r="C2460" s="543"/>
      <c r="D2460" s="544"/>
      <c r="E2460" s="544"/>
      <c r="F2460" s="544"/>
      <c r="G2460" s="544"/>
      <c r="H2460" s="544"/>
      <c r="I2460" s="543"/>
      <c r="J2460" s="543"/>
      <c r="K2460" s="544"/>
      <c r="L2460" s="543"/>
      <c r="M2460" s="544"/>
      <c r="N2460" s="543"/>
      <c r="O2460" s="544"/>
      <c r="P2460" s="544"/>
      <c r="Q2460" s="544"/>
      <c r="R2460" s="544"/>
      <c r="S2460" s="544"/>
    </row>
    <row r="2461" ht="14.25" customHeight="1">
      <c r="A2461" s="542"/>
      <c r="B2461" s="543"/>
      <c r="C2461" s="543"/>
      <c r="D2461" s="544"/>
      <c r="E2461" s="544"/>
      <c r="F2461" s="544"/>
      <c r="G2461" s="544"/>
      <c r="H2461" s="544"/>
      <c r="I2461" s="543"/>
      <c r="J2461" s="543"/>
      <c r="K2461" s="544"/>
      <c r="L2461" s="543"/>
      <c r="M2461" s="544"/>
      <c r="N2461" s="543"/>
      <c r="O2461" s="544"/>
      <c r="P2461" s="544"/>
      <c r="Q2461" s="544"/>
      <c r="R2461" s="544"/>
      <c r="S2461" s="544"/>
    </row>
    <row r="2462" ht="14.25" customHeight="1">
      <c r="A2462" s="542"/>
      <c r="B2462" s="543"/>
      <c r="C2462" s="543"/>
      <c r="D2462" s="544"/>
      <c r="E2462" s="544"/>
      <c r="F2462" s="544"/>
      <c r="G2462" s="544"/>
      <c r="H2462" s="544"/>
      <c r="I2462" s="543"/>
      <c r="J2462" s="543"/>
      <c r="K2462" s="544"/>
      <c r="L2462" s="543"/>
      <c r="M2462" s="544"/>
      <c r="N2462" s="543"/>
      <c r="O2462" s="544"/>
      <c r="P2462" s="544"/>
      <c r="Q2462" s="544"/>
      <c r="R2462" s="544"/>
      <c r="S2462" s="544"/>
    </row>
    <row r="2463" ht="14.25" customHeight="1">
      <c r="A2463" s="542"/>
      <c r="B2463" s="543"/>
      <c r="C2463" s="543"/>
      <c r="D2463" s="544"/>
      <c r="E2463" s="544"/>
      <c r="F2463" s="544"/>
      <c r="G2463" s="544"/>
      <c r="H2463" s="544"/>
      <c r="I2463" s="543"/>
      <c r="J2463" s="543"/>
      <c r="K2463" s="544"/>
      <c r="L2463" s="543"/>
      <c r="M2463" s="544"/>
      <c r="N2463" s="543"/>
      <c r="O2463" s="544"/>
      <c r="P2463" s="544"/>
      <c r="Q2463" s="544"/>
      <c r="R2463" s="544"/>
      <c r="S2463" s="544"/>
    </row>
    <row r="2464" ht="14.25" customHeight="1">
      <c r="A2464" s="542"/>
      <c r="B2464" s="543"/>
      <c r="C2464" s="543"/>
      <c r="D2464" s="544"/>
      <c r="E2464" s="544"/>
      <c r="F2464" s="544"/>
      <c r="G2464" s="544"/>
      <c r="H2464" s="544"/>
      <c r="I2464" s="543"/>
      <c r="J2464" s="543"/>
      <c r="K2464" s="544"/>
      <c r="L2464" s="543"/>
      <c r="M2464" s="544"/>
      <c r="N2464" s="543"/>
      <c r="O2464" s="544"/>
      <c r="P2464" s="544"/>
      <c r="Q2464" s="544"/>
      <c r="R2464" s="544"/>
      <c r="S2464" s="544"/>
    </row>
    <row r="2465" ht="14.25" customHeight="1">
      <c r="A2465" s="542"/>
      <c r="B2465" s="543"/>
      <c r="C2465" s="543"/>
      <c r="D2465" s="544"/>
      <c r="E2465" s="544"/>
      <c r="F2465" s="544"/>
      <c r="G2465" s="544"/>
      <c r="H2465" s="544"/>
      <c r="I2465" s="543"/>
      <c r="J2465" s="543"/>
      <c r="K2465" s="544"/>
      <c r="L2465" s="543"/>
      <c r="M2465" s="544"/>
      <c r="N2465" s="543"/>
      <c r="O2465" s="544"/>
      <c r="P2465" s="544"/>
      <c r="Q2465" s="544"/>
      <c r="R2465" s="544"/>
      <c r="S2465" s="544"/>
    </row>
    <row r="2466" ht="14.25" customHeight="1">
      <c r="A2466" s="542"/>
      <c r="B2466" s="543"/>
      <c r="C2466" s="543"/>
      <c r="D2466" s="544"/>
      <c r="E2466" s="544"/>
      <c r="F2466" s="544"/>
      <c r="G2466" s="544"/>
      <c r="H2466" s="544"/>
      <c r="I2466" s="543"/>
      <c r="J2466" s="543"/>
      <c r="K2466" s="544"/>
      <c r="L2466" s="543"/>
      <c r="M2466" s="544"/>
      <c r="N2466" s="543"/>
      <c r="O2466" s="544"/>
      <c r="P2466" s="544"/>
      <c r="Q2466" s="544"/>
      <c r="R2466" s="544"/>
      <c r="S2466" s="544"/>
    </row>
    <row r="2467" ht="14.25" customHeight="1">
      <c r="A2467" s="542"/>
      <c r="B2467" s="543"/>
      <c r="C2467" s="543"/>
      <c r="D2467" s="544"/>
      <c r="E2467" s="544"/>
      <c r="F2467" s="544"/>
      <c r="G2467" s="544"/>
      <c r="H2467" s="544"/>
      <c r="I2467" s="543"/>
      <c r="J2467" s="543"/>
      <c r="K2467" s="544"/>
      <c r="L2467" s="543"/>
      <c r="M2467" s="544"/>
      <c r="N2467" s="543"/>
      <c r="O2467" s="544"/>
      <c r="P2467" s="544"/>
      <c r="Q2467" s="544"/>
      <c r="R2467" s="544"/>
      <c r="S2467" s="544"/>
    </row>
    <row r="2468" ht="14.25" customHeight="1">
      <c r="A2468" s="542"/>
      <c r="B2468" s="543"/>
      <c r="C2468" s="543"/>
      <c r="D2468" s="544"/>
      <c r="E2468" s="544"/>
      <c r="F2468" s="544"/>
      <c r="G2468" s="544"/>
      <c r="H2468" s="544"/>
      <c r="I2468" s="543"/>
      <c r="J2468" s="543"/>
      <c r="K2468" s="544"/>
      <c r="L2468" s="543"/>
      <c r="M2468" s="544"/>
      <c r="N2468" s="543"/>
      <c r="O2468" s="544"/>
      <c r="P2468" s="544"/>
      <c r="Q2468" s="544"/>
      <c r="R2468" s="544"/>
      <c r="S2468" s="544"/>
    </row>
    <row r="2469" ht="14.25" customHeight="1">
      <c r="A2469" s="542"/>
      <c r="B2469" s="543"/>
      <c r="C2469" s="543"/>
      <c r="D2469" s="544"/>
      <c r="E2469" s="544"/>
      <c r="F2469" s="544"/>
      <c r="G2469" s="544"/>
      <c r="H2469" s="544"/>
      <c r="I2469" s="543"/>
      <c r="J2469" s="543"/>
      <c r="K2469" s="544"/>
      <c r="L2469" s="543"/>
      <c r="M2469" s="544"/>
      <c r="N2469" s="543"/>
      <c r="O2469" s="544"/>
      <c r="P2469" s="544"/>
      <c r="Q2469" s="544"/>
      <c r="R2469" s="544"/>
      <c r="S2469" s="544"/>
    </row>
    <row r="2470" ht="14.25" customHeight="1">
      <c r="A2470" s="542"/>
      <c r="B2470" s="543"/>
      <c r="C2470" s="543"/>
      <c r="D2470" s="544"/>
      <c r="E2470" s="544"/>
      <c r="F2470" s="544"/>
      <c r="G2470" s="544"/>
      <c r="H2470" s="544"/>
      <c r="I2470" s="543"/>
      <c r="J2470" s="543"/>
      <c r="K2470" s="544"/>
      <c r="L2470" s="543"/>
      <c r="M2470" s="544"/>
      <c r="N2470" s="543"/>
      <c r="O2470" s="544"/>
      <c r="P2470" s="544"/>
      <c r="Q2470" s="544"/>
      <c r="R2470" s="544"/>
      <c r="S2470" s="544"/>
    </row>
    <row r="2471" ht="14.25" customHeight="1">
      <c r="A2471" s="542"/>
      <c r="B2471" s="543"/>
      <c r="C2471" s="543"/>
      <c r="D2471" s="544"/>
      <c r="E2471" s="544"/>
      <c r="F2471" s="544"/>
      <c r="G2471" s="544"/>
      <c r="H2471" s="544"/>
      <c r="I2471" s="543"/>
      <c r="J2471" s="543"/>
      <c r="K2471" s="544"/>
      <c r="L2471" s="543"/>
      <c r="M2471" s="544"/>
      <c r="N2471" s="543"/>
      <c r="O2471" s="544"/>
      <c r="P2471" s="544"/>
      <c r="Q2471" s="544"/>
      <c r="R2471" s="544"/>
      <c r="S2471" s="544"/>
    </row>
    <row r="2472" ht="14.25" customHeight="1">
      <c r="A2472" s="542"/>
      <c r="B2472" s="543"/>
      <c r="C2472" s="543"/>
      <c r="D2472" s="544"/>
      <c r="E2472" s="544"/>
      <c r="F2472" s="544"/>
      <c r="G2472" s="544"/>
      <c r="H2472" s="544"/>
      <c r="I2472" s="543"/>
      <c r="J2472" s="543"/>
      <c r="K2472" s="544"/>
      <c r="L2472" s="543"/>
      <c r="M2472" s="544"/>
      <c r="N2472" s="543"/>
      <c r="O2472" s="544"/>
      <c r="P2472" s="544"/>
      <c r="Q2472" s="544"/>
      <c r="R2472" s="544"/>
      <c r="S2472" s="544"/>
    </row>
    <row r="2473" ht="14.25" customHeight="1">
      <c r="A2473" s="542"/>
      <c r="B2473" s="543"/>
      <c r="C2473" s="543"/>
      <c r="D2473" s="544"/>
      <c r="E2473" s="544"/>
      <c r="F2473" s="544"/>
      <c r="G2473" s="544"/>
      <c r="H2473" s="544"/>
      <c r="I2473" s="543"/>
      <c r="J2473" s="543"/>
      <c r="K2473" s="544"/>
      <c r="L2473" s="543"/>
      <c r="M2473" s="544"/>
      <c r="N2473" s="543"/>
      <c r="O2473" s="544"/>
      <c r="P2473" s="544"/>
      <c r="Q2473" s="544"/>
      <c r="R2473" s="544"/>
      <c r="S2473" s="544"/>
    </row>
    <row r="2474" ht="14.25" customHeight="1">
      <c r="A2474" s="542"/>
      <c r="B2474" s="543"/>
      <c r="C2474" s="543"/>
      <c r="D2474" s="544"/>
      <c r="E2474" s="544"/>
      <c r="F2474" s="544"/>
      <c r="G2474" s="544"/>
      <c r="H2474" s="544"/>
      <c r="I2474" s="543"/>
      <c r="J2474" s="543"/>
      <c r="K2474" s="544"/>
      <c r="L2474" s="543"/>
      <c r="M2474" s="544"/>
      <c r="N2474" s="543"/>
      <c r="O2474" s="544"/>
      <c r="P2474" s="544"/>
      <c r="Q2474" s="544"/>
      <c r="R2474" s="544"/>
      <c r="S2474" s="544"/>
    </row>
    <row r="2475" ht="14.25" customHeight="1">
      <c r="A2475" s="542"/>
      <c r="B2475" s="544"/>
      <c r="C2475" s="543"/>
      <c r="D2475" s="544"/>
      <c r="E2475" s="544"/>
      <c r="F2475" s="544"/>
      <c r="G2475" s="544"/>
      <c r="H2475" s="544"/>
      <c r="I2475" s="543"/>
      <c r="J2475" s="543"/>
      <c r="K2475" s="544"/>
      <c r="L2475" s="543"/>
      <c r="M2475" s="544"/>
      <c r="N2475" s="543"/>
      <c r="O2475" s="544"/>
      <c r="P2475" s="544"/>
      <c r="Q2475" s="544"/>
      <c r="R2475" s="544"/>
      <c r="S2475" s="544"/>
    </row>
  </sheetData>
  <printOptions/>
  <pageMargins bottom="0.75" footer="0.0" header="0.0" left="0.7" right="0.7" top="0.7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45" t="s">
        <v>1903</v>
      </c>
    </row>
    <row r="2">
      <c r="A2" s="546" t="s">
        <v>1904</v>
      </c>
      <c r="B2" s="547" t="s">
        <v>1326</v>
      </c>
      <c r="C2" s="546" t="s">
        <v>1905</v>
      </c>
      <c r="D2" s="547" t="s">
        <v>1906</v>
      </c>
      <c r="E2" s="548" t="s">
        <v>1907</v>
      </c>
    </row>
    <row r="3">
      <c r="A3" s="92"/>
      <c r="B3" s="549"/>
      <c r="C3" s="92"/>
      <c r="D3" s="549"/>
      <c r="E3" s="550"/>
    </row>
    <row r="4">
      <c r="A4" s="92"/>
      <c r="B4" s="549"/>
      <c r="C4" s="92"/>
      <c r="D4" s="549"/>
      <c r="E4" s="550"/>
    </row>
    <row r="5">
      <c r="A5" s="92"/>
      <c r="B5" s="549"/>
      <c r="C5" s="92"/>
      <c r="D5" s="549"/>
      <c r="E5" s="550"/>
    </row>
    <row r="6">
      <c r="A6" s="92"/>
      <c r="B6" s="549"/>
      <c r="C6" s="92"/>
      <c r="D6" s="549"/>
      <c r="E6" s="550"/>
    </row>
    <row r="7">
      <c r="A7" s="92"/>
      <c r="B7" s="549"/>
      <c r="C7" s="92"/>
      <c r="D7" s="549"/>
      <c r="E7" s="550"/>
    </row>
    <row r="8">
      <c r="A8" s="92"/>
      <c r="B8" s="549"/>
      <c r="C8" s="92"/>
      <c r="D8" s="549"/>
      <c r="E8" s="550"/>
    </row>
    <row r="9">
      <c r="A9" s="92"/>
      <c r="B9" s="549"/>
      <c r="C9" s="92"/>
      <c r="D9" s="549"/>
      <c r="E9" s="550"/>
    </row>
    <row r="10">
      <c r="A10" s="92"/>
      <c r="B10" s="549"/>
      <c r="C10" s="92"/>
      <c r="D10" s="549"/>
      <c r="E10" s="550"/>
    </row>
    <row r="11">
      <c r="A11" s="92"/>
      <c r="B11" s="549"/>
      <c r="C11" s="92"/>
      <c r="D11" s="549"/>
      <c r="E11" s="550"/>
    </row>
    <row r="12">
      <c r="A12" s="92"/>
      <c r="B12" s="549"/>
      <c r="C12" s="92"/>
      <c r="D12" s="549"/>
      <c r="E12" s="550"/>
    </row>
    <row r="13">
      <c r="A13" s="92"/>
      <c r="B13" s="549"/>
      <c r="C13" s="92"/>
      <c r="D13" s="549"/>
      <c r="E13" s="550"/>
    </row>
    <row r="14">
      <c r="A14" s="92"/>
      <c r="B14" s="549"/>
      <c r="C14" s="92"/>
      <c r="D14" s="549"/>
      <c r="E14" s="550"/>
    </row>
    <row r="15">
      <c r="A15" s="92"/>
      <c r="B15" s="549"/>
      <c r="C15" s="92"/>
      <c r="D15" s="549"/>
      <c r="E15" s="550"/>
    </row>
    <row r="16">
      <c r="A16" s="92"/>
      <c r="B16" s="549"/>
      <c r="C16" s="92"/>
      <c r="D16" s="549"/>
      <c r="E16" s="550"/>
    </row>
    <row r="17">
      <c r="A17" s="92"/>
      <c r="B17" s="549"/>
      <c r="C17" s="92"/>
      <c r="D17" s="549"/>
      <c r="E17" s="550"/>
    </row>
    <row r="18">
      <c r="A18" s="92"/>
      <c r="B18" s="549"/>
      <c r="C18" s="92"/>
      <c r="D18" s="549"/>
      <c r="E18" s="550"/>
    </row>
    <row r="19">
      <c r="A19" s="92"/>
      <c r="B19" s="549"/>
      <c r="C19" s="92"/>
      <c r="D19" s="549"/>
      <c r="E19" s="550"/>
    </row>
    <row r="20">
      <c r="A20" s="92"/>
      <c r="B20" s="549"/>
      <c r="C20" s="92"/>
      <c r="D20" s="549"/>
      <c r="E20" s="550"/>
    </row>
    <row r="21">
      <c r="A21" s="92"/>
      <c r="B21" s="549"/>
      <c r="C21" s="92"/>
      <c r="D21" s="549"/>
      <c r="E21" s="550"/>
    </row>
    <row r="22">
      <c r="A22" s="92"/>
      <c r="B22" s="549"/>
      <c r="C22" s="92"/>
      <c r="D22" s="549"/>
      <c r="E22" s="550"/>
    </row>
    <row r="23">
      <c r="A23" s="92"/>
      <c r="B23" s="549"/>
      <c r="C23" s="92"/>
      <c r="D23" s="549"/>
      <c r="E23" s="550"/>
    </row>
    <row r="24">
      <c r="A24" s="92"/>
      <c r="B24" s="549"/>
      <c r="C24" s="92"/>
      <c r="D24" s="549"/>
      <c r="E24" s="550"/>
    </row>
    <row r="25">
      <c r="A25" s="92"/>
      <c r="B25" s="549"/>
      <c r="C25" s="92"/>
      <c r="D25" s="549"/>
      <c r="E25" s="550"/>
    </row>
    <row r="26">
      <c r="A26" s="92"/>
      <c r="B26" s="549"/>
      <c r="C26" s="92"/>
      <c r="D26" s="549"/>
      <c r="E26" s="550"/>
    </row>
  </sheetData>
  <mergeCells count="1">
    <mergeCell ref="A1:E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3" max="3" width="20.0"/>
    <col customWidth="1" min="4" max="4" width="16.88"/>
    <col customWidth="1" min="5" max="5" width="16.5"/>
    <col customWidth="1" min="6" max="6" width="15.75"/>
    <col customWidth="1" min="7" max="7" width="18.38"/>
    <col customWidth="1" min="8" max="8" width="21.25"/>
    <col customWidth="1" min="9" max="9" width="25.38"/>
    <col customWidth="1" min="14" max="14" width="15.13"/>
  </cols>
  <sheetData>
    <row r="1">
      <c r="A1" s="97"/>
      <c r="B1" s="98"/>
      <c r="C1" s="98"/>
      <c r="D1" s="98"/>
      <c r="E1" s="99"/>
      <c r="F1" s="98"/>
      <c r="G1" s="100"/>
      <c r="H1" s="99"/>
      <c r="I1" s="98"/>
      <c r="J1" s="98"/>
      <c r="K1" s="98"/>
      <c r="L1" s="98"/>
      <c r="M1" s="98"/>
      <c r="N1" s="98"/>
    </row>
    <row r="2">
      <c r="A2" s="101"/>
      <c r="B2" s="102" t="s">
        <v>1297</v>
      </c>
      <c r="C2" s="102"/>
      <c r="D2" s="103"/>
      <c r="E2" s="104"/>
      <c r="F2" s="103"/>
      <c r="G2" s="105"/>
      <c r="H2" s="104"/>
      <c r="I2" s="103"/>
      <c r="J2" s="103"/>
      <c r="K2" s="103"/>
      <c r="L2" s="103"/>
      <c r="M2" s="103"/>
      <c r="N2" s="103"/>
    </row>
    <row r="3">
      <c r="A3" s="101"/>
      <c r="B3" s="106"/>
      <c r="C3" s="106"/>
      <c r="D3" s="107"/>
      <c r="E3" s="108" t="s">
        <v>1298</v>
      </c>
      <c r="G3" s="109"/>
      <c r="H3" s="110" t="s">
        <v>1299</v>
      </c>
      <c r="I3" s="111"/>
      <c r="J3" s="112"/>
      <c r="K3" s="110" t="s">
        <v>1300</v>
      </c>
      <c r="L3" s="111"/>
      <c r="M3" s="112"/>
    </row>
    <row r="4">
      <c r="A4" s="113"/>
      <c r="B4" s="114" t="s">
        <v>1301</v>
      </c>
      <c r="C4" s="114" t="s">
        <v>5</v>
      </c>
      <c r="D4" s="114" t="s">
        <v>1302</v>
      </c>
      <c r="E4" s="114" t="s">
        <v>2</v>
      </c>
      <c r="F4" s="115" t="s">
        <v>5</v>
      </c>
      <c r="G4" s="114" t="s">
        <v>1303</v>
      </c>
      <c r="H4" s="114" t="s">
        <v>2</v>
      </c>
      <c r="I4" s="114" t="s">
        <v>5</v>
      </c>
      <c r="J4" s="114" t="s">
        <v>1303</v>
      </c>
      <c r="K4" s="114" t="s">
        <v>2</v>
      </c>
      <c r="L4" s="114" t="s">
        <v>5</v>
      </c>
      <c r="M4" s="114" t="s">
        <v>1303</v>
      </c>
    </row>
    <row r="5">
      <c r="A5" s="116"/>
      <c r="B5" s="117">
        <f>counta('Elligible Training Institutes R'!A9:A19)</f>
        <v>0</v>
      </c>
      <c r="C5" s="118">
        <f>countif('Elligible Training Institutes R'!$L$9:$L$19,"Yes")</f>
        <v>11</v>
      </c>
      <c r="D5" s="118">
        <f>(B5-C5)</f>
        <v>-11</v>
      </c>
      <c r="E5" s="119">
        <f>countif('Elligible Training Institutes R'!$G$9:$G$19,"Central Govt.")</f>
        <v>0</v>
      </c>
      <c r="F5" s="120">
        <f>countifs('Elligible Training Institutes R'!$G$9:$G$19,"Central Govt.",'Elligible Training Institutes R'!$L$9:$L$19,"Yes")</f>
        <v>0</v>
      </c>
      <c r="G5" s="119">
        <f>countifs('Elligible Training Institutes R'!$G$9:$G$19,"Central Govt.",'Elligible Training Institutes R'!$L$9:$L$19,"No")</f>
        <v>0</v>
      </c>
      <c r="H5" s="119">
        <f>countif('Elligible Training Institutes R'!$G$9:$G$19,"Govt")</f>
        <v>0</v>
      </c>
      <c r="I5" s="119">
        <f>countifs('Elligible Training Institutes R'!$G$9:$G$19,"Govt",'Elligible Training Institutes R'!$L$9:$L$19,"Yes")</f>
        <v>0</v>
      </c>
      <c r="J5" s="119">
        <f>countifs('Elligible Training Institutes R'!$G$9:$G$19,"Govt",'Elligible Training Institutes R'!$L$9:$L$19,"No")</f>
        <v>0</v>
      </c>
      <c r="K5" s="119">
        <f>COUNTIF('Elligible Training Institutes R'!$G$9:$G$19,"Private")</f>
        <v>0</v>
      </c>
      <c r="L5" s="119">
        <f>countifs('Elligible Training Institutes R'!$G$9:$G$19,"Private",'Elligible Training Institutes R'!$L$9:$L$19,"Yes")</f>
        <v>0</v>
      </c>
      <c r="M5" s="119">
        <f>countifs('Elligible Training Institutes R'!$G$9:$G$19,"Private",'Elligible Training Institutes R'!$L$9:$L$19,"No")</f>
        <v>0</v>
      </c>
    </row>
    <row r="6">
      <c r="A6" s="116"/>
      <c r="B6" s="121"/>
      <c r="C6" s="121"/>
      <c r="D6" s="121"/>
      <c r="E6" s="122"/>
      <c r="F6" s="123"/>
      <c r="G6" s="124"/>
      <c r="H6" s="122"/>
      <c r="I6" s="123"/>
      <c r="J6" s="123"/>
      <c r="K6" s="123"/>
      <c r="L6" s="123"/>
      <c r="M6" s="123"/>
      <c r="N6" s="123"/>
    </row>
    <row r="7">
      <c r="A7" s="116"/>
      <c r="B7" s="125"/>
      <c r="C7" s="126"/>
      <c r="D7" s="126"/>
      <c r="E7" s="127"/>
      <c r="F7" s="128" t="s">
        <v>1298</v>
      </c>
      <c r="H7" s="109"/>
      <c r="I7" s="129" t="s">
        <v>1299</v>
      </c>
      <c r="J7" s="111"/>
      <c r="K7" s="112"/>
      <c r="L7" s="129" t="s">
        <v>1300</v>
      </c>
      <c r="M7" s="111"/>
      <c r="N7" s="112"/>
    </row>
    <row r="8">
      <c r="A8" s="116"/>
      <c r="B8" s="130"/>
      <c r="C8" s="114" t="s">
        <v>1304</v>
      </c>
      <c r="D8" s="114" t="s">
        <v>5</v>
      </c>
      <c r="E8" s="131" t="s">
        <v>1305</v>
      </c>
      <c r="F8" s="131" t="s">
        <v>2</v>
      </c>
      <c r="G8" s="132" t="s">
        <v>5</v>
      </c>
      <c r="H8" s="133" t="s">
        <v>1303</v>
      </c>
      <c r="I8" s="114" t="s">
        <v>2</v>
      </c>
      <c r="J8" s="114" t="s">
        <v>5</v>
      </c>
      <c r="K8" s="114" t="s">
        <v>1303</v>
      </c>
      <c r="L8" s="114" t="s">
        <v>2</v>
      </c>
      <c r="M8" s="114" t="s">
        <v>5</v>
      </c>
      <c r="N8" s="114" t="s">
        <v>1303</v>
      </c>
    </row>
    <row r="9">
      <c r="A9" s="116"/>
      <c r="B9" s="134"/>
      <c r="C9" s="135">
        <f>sum('Elligible Training Institutes R'!$S:$S)</f>
        <v>0</v>
      </c>
      <c r="D9" s="136" t="str">
        <f>IFERROR(__xludf.DUMMYFUNCTION("join("" ("",SUMIF('Elligible Training Institutes R'!$L$9:$L$19,""Yes"",'Elligible Training Institutes R'!$S$9:$S$19),round(SUMIF('Elligible Training Institutes R'!$L$9:$L$19,""Yes"",'Elligible Training Institutes R'!$S$9:$S$19)*100/C9)&amp;""%)"")"),"#DIV/0!")</f>
        <v>#DIV/0!</v>
      </c>
      <c r="E9" s="137" t="str">
        <f>4792&amp;" ("&amp;"6%)"</f>
        <v>4792 (6%)</v>
      </c>
      <c r="F9" s="136">
        <f>SUMIF('Elligible Training Institutes R'!$G$9:$G$19,"Central Govt.",'Elligible Training Institutes R'!$S$9:$S$19)</f>
        <v>0</v>
      </c>
      <c r="G9" s="136">
        <f>sumifs('Elligible Training Institutes R'!$S$9:$S$19,'Elligible Training Institutes R'!$G$9:$G$19,"Central Govt.",'Elligible Training Institutes R'!$L$9:$L$19,"Yes")</f>
        <v>0</v>
      </c>
      <c r="H9" s="138">
        <f>F9-G9</f>
        <v>0</v>
      </c>
      <c r="I9" s="136">
        <f>SUMIF('Elligible Training Institutes R'!$G$9:$G$19,"Govt",'Elligible Training Institutes R'!$S$9:$S$19)</f>
        <v>0</v>
      </c>
      <c r="J9" s="136">
        <f>sumifs('Elligible Training Institutes R'!$S$9:$S$19,'Elligible Training Institutes R'!$G$9:$G$19,"Govt",'Elligible Training Institutes R'!$L$9:$L$19,"Yes")</f>
        <v>0</v>
      </c>
      <c r="K9" s="136">
        <f>I9-J9</f>
        <v>0</v>
      </c>
      <c r="L9" s="136">
        <f>SUMIF('Elligible Training Institutes R'!$G$9:$G$19,"Private",'Elligible Training Institutes R'!$S$9:$S$19)</f>
        <v>0</v>
      </c>
      <c r="M9" s="136">
        <f>sumifs('Elligible Training Institutes R'!$S$9:$S$19,'Elligible Training Institutes R'!$G$9:$G$19,"Private",'Elligible Training Institutes R'!$L$9:$L$19,"Yes")</f>
        <v>0</v>
      </c>
      <c r="N9" s="137">
        <f>L9-M9</f>
        <v>0</v>
      </c>
    </row>
    <row r="10">
      <c r="A10" s="116"/>
      <c r="B10" s="139"/>
      <c r="C10" s="140"/>
      <c r="D10" s="141"/>
      <c r="E10" s="142"/>
      <c r="F10" s="123"/>
      <c r="G10" s="143"/>
      <c r="H10" s="144"/>
      <c r="I10" s="123"/>
      <c r="J10" s="123"/>
      <c r="K10" s="123"/>
      <c r="L10" s="123"/>
      <c r="M10" s="123"/>
      <c r="N10" s="145"/>
    </row>
    <row r="11" hidden="1">
      <c r="A11" s="116"/>
      <c r="B11" s="114" t="s">
        <v>1304</v>
      </c>
      <c r="C11" s="114" t="s">
        <v>5</v>
      </c>
      <c r="D11" s="131" t="s">
        <v>1305</v>
      </c>
      <c r="E11" s="131" t="s">
        <v>1306</v>
      </c>
      <c r="F11" s="146"/>
      <c r="G11" s="147"/>
      <c r="H11" s="99"/>
      <c r="I11" s="98"/>
      <c r="J11" s="98"/>
      <c r="K11" s="98"/>
      <c r="L11" s="98"/>
      <c r="M11" s="98"/>
      <c r="N11" s="98"/>
    </row>
    <row r="12" hidden="1">
      <c r="A12" s="116"/>
      <c r="B12" s="135">
        <f>sum('Elligible Training Institutes R'!$S:$S)</f>
        <v>0</v>
      </c>
      <c r="C12" s="136">
        <f>SUMIF('Elligible Training Institutes R'!$L$9:$L$19,"Yes",'Elligible Training Institutes R'!$S$9:$S$19)</f>
        <v>0</v>
      </c>
      <c r="D12" s="137">
        <f>B12-C12</f>
        <v>0</v>
      </c>
      <c r="E12" s="148" t="str">
        <f>D12/C12</f>
        <v>#DIV/0!</v>
      </c>
      <c r="F12" s="146"/>
      <c r="G12" s="100"/>
      <c r="H12" s="99"/>
      <c r="I12" s="98"/>
      <c r="J12" s="98"/>
      <c r="K12" s="98"/>
      <c r="L12" s="98"/>
      <c r="M12" s="98"/>
      <c r="N12" s="98"/>
    </row>
    <row r="13">
      <c r="A13" s="149"/>
      <c r="B13" s="150" t="s">
        <v>1307</v>
      </c>
      <c r="C13" s="151"/>
      <c r="D13" s="151"/>
      <c r="E13" s="104"/>
      <c r="F13" s="103"/>
      <c r="G13" s="100"/>
      <c r="H13" s="99"/>
      <c r="I13" s="98"/>
      <c r="J13" s="98"/>
      <c r="K13" s="98"/>
      <c r="L13" s="98"/>
      <c r="M13" s="98"/>
      <c r="N13" s="98"/>
    </row>
    <row r="14">
      <c r="A14" s="116"/>
      <c r="B14" s="152" t="s">
        <v>1308</v>
      </c>
      <c r="C14" s="152" t="s">
        <v>1309</v>
      </c>
      <c r="D14" s="152" t="s">
        <v>1301</v>
      </c>
      <c r="E14" s="152" t="s">
        <v>1310</v>
      </c>
      <c r="F14" s="152" t="s">
        <v>1311</v>
      </c>
      <c r="G14" s="153" t="s">
        <v>1312</v>
      </c>
      <c r="H14" s="154" t="s">
        <v>1313</v>
      </c>
      <c r="I14" s="154" t="s">
        <v>1314</v>
      </c>
      <c r="J14" s="98"/>
      <c r="K14" s="98"/>
      <c r="L14" s="98"/>
      <c r="M14" s="98"/>
      <c r="N14" s="98"/>
    </row>
    <row r="15">
      <c r="A15" s="116"/>
      <c r="B15" s="155">
        <v>1.0</v>
      </c>
      <c r="C15" s="155" t="s">
        <v>1315</v>
      </c>
      <c r="D15" s="156">
        <f>countif('Elligible Training Institutes R'!$F$9:$F$19,C15)</f>
        <v>0</v>
      </c>
      <c r="E15" s="157">
        <f>COUNTIFS('Elligible Training Institutes R'!$F$9:$F$19,C15,'Elligible Training Institutes R'!$L$9:$L$19,"Yes")</f>
        <v>0</v>
      </c>
      <c r="F15" s="158">
        <f>COUNTIFS('Elligible Training Institutes R'!$F$9:$F$19,C15,'Elligible Training Institutes R'!$L$9:$L$19,"No")</f>
        <v>0</v>
      </c>
      <c r="G15" s="159" t="str">
        <f>E15/D15*100</f>
        <v>#DIV/0!</v>
      </c>
      <c r="H15" s="160">
        <v>2160.0</v>
      </c>
      <c r="I15" s="160" t="s">
        <v>1316</v>
      </c>
      <c r="J15" s="161"/>
      <c r="K15" s="98"/>
      <c r="L15" s="98"/>
      <c r="M15" s="98"/>
      <c r="N15" s="98"/>
    </row>
    <row r="16">
      <c r="A16" s="116"/>
      <c r="B16" s="155">
        <v>2.0</v>
      </c>
      <c r="C16" s="155"/>
      <c r="D16" s="156"/>
      <c r="E16" s="157"/>
      <c r="F16" s="157"/>
      <c r="G16" s="159"/>
      <c r="H16" s="160"/>
      <c r="I16" s="160"/>
      <c r="J16" s="161"/>
      <c r="K16" s="98"/>
      <c r="L16" s="98"/>
      <c r="M16" s="98"/>
      <c r="N16" s="98"/>
    </row>
    <row r="17">
      <c r="A17" s="116"/>
      <c r="B17" s="155">
        <v>3.0</v>
      </c>
      <c r="C17" s="155"/>
      <c r="D17" s="156"/>
      <c r="E17" s="157"/>
      <c r="F17" s="157"/>
      <c r="G17" s="159"/>
      <c r="H17" s="160"/>
      <c r="I17" s="160"/>
      <c r="J17" s="161"/>
      <c r="K17" s="98"/>
      <c r="L17" s="98"/>
      <c r="M17" s="98"/>
      <c r="N17" s="98"/>
    </row>
    <row r="18">
      <c r="A18" s="116"/>
      <c r="B18" s="155">
        <v>4.0</v>
      </c>
      <c r="C18" s="155"/>
      <c r="D18" s="156"/>
      <c r="E18" s="157"/>
      <c r="F18" s="157"/>
      <c r="G18" s="159"/>
      <c r="H18" s="160"/>
      <c r="I18" s="160"/>
      <c r="J18" s="161"/>
      <c r="K18" s="98"/>
      <c r="L18" s="98"/>
      <c r="M18" s="98"/>
      <c r="N18" s="98"/>
    </row>
    <row r="19">
      <c r="A19" s="116"/>
      <c r="B19" s="155">
        <v>5.0</v>
      </c>
      <c r="C19" s="155"/>
      <c r="D19" s="156"/>
      <c r="E19" s="157"/>
      <c r="F19" s="157"/>
      <c r="G19" s="159"/>
      <c r="H19" s="160"/>
      <c r="I19" s="160"/>
      <c r="J19" s="161"/>
      <c r="K19" s="98"/>
      <c r="L19" s="98"/>
      <c r="M19" s="98"/>
      <c r="N19" s="98"/>
    </row>
    <row r="20">
      <c r="A20" s="116"/>
      <c r="B20" s="155"/>
      <c r="C20" s="155"/>
      <c r="D20" s="156"/>
      <c r="E20" s="157"/>
      <c r="F20" s="157"/>
      <c r="G20" s="159"/>
      <c r="H20" s="160"/>
      <c r="I20" s="160"/>
      <c r="J20" s="161"/>
      <c r="K20" s="98"/>
      <c r="L20" s="98"/>
      <c r="M20" s="98"/>
      <c r="N20" s="98"/>
    </row>
    <row r="21">
      <c r="A21" s="116"/>
      <c r="B21" s="155"/>
      <c r="C21" s="155"/>
      <c r="D21" s="156"/>
      <c r="E21" s="157"/>
      <c r="F21" s="157"/>
      <c r="G21" s="159"/>
      <c r="H21" s="160"/>
      <c r="I21" s="160"/>
      <c r="J21" s="161"/>
      <c r="K21" s="98"/>
      <c r="L21" s="98"/>
      <c r="M21" s="98"/>
      <c r="N21" s="98"/>
    </row>
    <row r="22">
      <c r="A22" s="116"/>
      <c r="B22" s="155"/>
      <c r="C22" s="155"/>
      <c r="D22" s="156"/>
      <c r="E22" s="157"/>
      <c r="F22" s="157"/>
      <c r="G22" s="159"/>
      <c r="H22" s="160"/>
      <c r="I22" s="160"/>
      <c r="J22" s="161"/>
      <c r="K22" s="98"/>
      <c r="L22" s="98"/>
      <c r="M22" s="98"/>
      <c r="N22" s="98"/>
    </row>
    <row r="23">
      <c r="A23" s="116"/>
      <c r="B23" s="155"/>
      <c r="C23" s="155"/>
      <c r="D23" s="155"/>
      <c r="E23" s="162"/>
      <c r="F23" s="157"/>
      <c r="G23" s="159"/>
      <c r="H23" s="160"/>
      <c r="I23" s="160"/>
      <c r="J23" s="161"/>
      <c r="K23" s="98"/>
      <c r="L23" s="98"/>
      <c r="M23" s="98"/>
      <c r="N23" s="98"/>
    </row>
    <row r="24">
      <c r="A24" s="116"/>
      <c r="B24" s="163"/>
      <c r="C24" s="163"/>
      <c r="D24" s="164"/>
      <c r="E24" s="165"/>
      <c r="F24" s="165"/>
      <c r="G24" s="166"/>
      <c r="H24" s="160"/>
      <c r="I24" s="160"/>
      <c r="J24" s="161"/>
      <c r="K24" s="98"/>
      <c r="L24" s="98"/>
      <c r="M24" s="98"/>
      <c r="N24" s="98"/>
    </row>
    <row r="25">
      <c r="A25" s="116"/>
      <c r="B25" s="167"/>
      <c r="C25" s="168" t="s">
        <v>1317</v>
      </c>
      <c r="D25" s="167">
        <f t="shared" ref="D25:F25" si="1">SUM(D14:D23)</f>
        <v>0</v>
      </c>
      <c r="E25" s="169">
        <f t="shared" si="1"/>
        <v>0</v>
      </c>
      <c r="F25" s="169">
        <f t="shared" si="1"/>
        <v>0</v>
      </c>
      <c r="G25" s="170" t="str">
        <f>E25/D25*100</f>
        <v>#DIV/0!</v>
      </c>
      <c r="H25" s="171">
        <v>69959.0</v>
      </c>
      <c r="I25" s="171">
        <v>4516.0</v>
      </c>
      <c r="J25" s="146"/>
      <c r="K25" s="98"/>
      <c r="L25" s="98"/>
      <c r="M25" s="98"/>
      <c r="N25" s="98"/>
    </row>
    <row r="26">
      <c r="A26" s="149"/>
      <c r="B26" s="121"/>
      <c r="C26" s="125"/>
      <c r="D26" s="121"/>
      <c r="E26" s="122"/>
      <c r="F26" s="122"/>
      <c r="G26" s="124"/>
      <c r="H26" s="122"/>
      <c r="I26" s="123"/>
      <c r="J26" s="98"/>
      <c r="K26" s="98"/>
      <c r="L26" s="98"/>
      <c r="M26" s="98"/>
      <c r="N26" s="98"/>
    </row>
    <row r="27">
      <c r="A27" s="149"/>
      <c r="B27" s="172"/>
      <c r="C27" s="173"/>
      <c r="D27" s="172"/>
      <c r="E27" s="99"/>
      <c r="F27" s="99"/>
      <c r="G27" s="100"/>
      <c r="H27" s="99"/>
      <c r="I27" s="98"/>
      <c r="J27" s="98"/>
      <c r="K27" s="98"/>
      <c r="L27" s="98"/>
      <c r="M27" s="98"/>
      <c r="N27" s="98"/>
    </row>
    <row r="28">
      <c r="A28" s="149"/>
      <c r="B28" s="172"/>
      <c r="C28" s="173"/>
      <c r="D28" s="172"/>
      <c r="E28" s="99"/>
      <c r="F28" s="99"/>
      <c r="G28" s="100"/>
      <c r="H28" s="99"/>
      <c r="I28" s="98"/>
      <c r="J28" s="98"/>
      <c r="K28" s="98"/>
      <c r="L28" s="98"/>
      <c r="M28" s="98"/>
      <c r="N28" s="98"/>
    </row>
    <row r="29">
      <c r="A29" s="149"/>
      <c r="B29" s="172"/>
      <c r="C29" s="173"/>
      <c r="D29" s="172"/>
      <c r="E29" s="99"/>
      <c r="F29" s="99"/>
      <c r="G29" s="100"/>
      <c r="H29" s="99"/>
      <c r="I29" s="98"/>
      <c r="J29" s="98"/>
      <c r="K29" s="98"/>
      <c r="L29" s="98"/>
      <c r="M29" s="98"/>
      <c r="N29" s="98"/>
    </row>
  </sheetData>
  <mergeCells count="6">
    <mergeCell ref="E3:G3"/>
    <mergeCell ref="H3:J3"/>
    <mergeCell ref="K3:M3"/>
    <mergeCell ref="F7:H7"/>
    <mergeCell ref="I7:K7"/>
    <mergeCell ref="L7:N7"/>
  </mergeCells>
  <conditionalFormatting sqref="F15:F24">
    <cfRule type="cellIs" dxfId="0" priority="1" operator="between">
      <formula>1</formula>
      <formula>5</formula>
    </cfRule>
  </conditionalFormatting>
  <conditionalFormatting sqref="F15:F24">
    <cfRule type="cellIs" dxfId="1" priority="2" operator="between">
      <formula>6</formula>
      <formula>15</formula>
    </cfRule>
  </conditionalFormatting>
  <conditionalFormatting sqref="F15:F24">
    <cfRule type="notContainsBlanks" dxfId="2" priority="3">
      <formula>LEN(TRIM(F15))&gt;0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14.63"/>
    <col customWidth="1" min="3" max="3" width="20.0"/>
    <col customWidth="1" min="4" max="4" width="16.88"/>
    <col customWidth="1" min="5" max="6" width="16.5"/>
    <col customWidth="1" min="7" max="7" width="18.38"/>
    <col customWidth="1" min="8" max="8" width="23.63"/>
    <col customWidth="1" min="9" max="9" width="25.63"/>
    <col customWidth="1" min="14" max="14" width="15.13"/>
  </cols>
  <sheetData>
    <row r="1">
      <c r="A1" s="97"/>
      <c r="B1" s="98"/>
      <c r="C1" s="98"/>
      <c r="D1" s="98"/>
      <c r="E1" s="99"/>
      <c r="F1" s="98"/>
      <c r="G1" s="100"/>
      <c r="H1" s="99"/>
      <c r="I1" s="98"/>
      <c r="J1" s="98"/>
      <c r="K1" s="98"/>
      <c r="L1" s="98"/>
      <c r="M1" s="98"/>
      <c r="N1" s="98"/>
    </row>
    <row r="2">
      <c r="A2" s="101"/>
      <c r="B2" s="102" t="s">
        <v>1297</v>
      </c>
      <c r="C2" s="102"/>
      <c r="D2" s="103"/>
      <c r="E2" s="104"/>
      <c r="F2" s="103"/>
      <c r="G2" s="105"/>
      <c r="H2" s="104"/>
      <c r="I2" s="103"/>
      <c r="J2" s="103"/>
      <c r="K2" s="103"/>
      <c r="L2" s="103"/>
      <c r="M2" s="103"/>
      <c r="N2" s="103"/>
    </row>
    <row r="3">
      <c r="A3" s="101"/>
      <c r="B3" s="106"/>
      <c r="C3" s="106"/>
      <c r="D3" s="107"/>
      <c r="E3" s="113"/>
      <c r="F3" s="7"/>
      <c r="G3" s="8"/>
      <c r="H3" s="113"/>
      <c r="I3" s="174"/>
      <c r="J3" s="174"/>
      <c r="K3" s="113"/>
      <c r="L3" s="7"/>
      <c r="M3" s="8"/>
      <c r="N3" s="175"/>
    </row>
    <row r="4">
      <c r="A4" s="113"/>
      <c r="B4" s="176"/>
      <c r="C4" s="176"/>
      <c r="D4" s="176"/>
      <c r="E4" s="176"/>
      <c r="F4" s="176"/>
      <c r="G4" s="176"/>
      <c r="H4" s="176"/>
      <c r="I4" s="174"/>
      <c r="J4" s="174"/>
      <c r="K4" s="175"/>
      <c r="L4" s="177"/>
      <c r="M4" s="177"/>
      <c r="N4" s="177"/>
    </row>
    <row r="5">
      <c r="A5" s="116"/>
      <c r="B5" s="178"/>
      <c r="C5" s="179" t="s">
        <v>1303</v>
      </c>
      <c r="D5" s="180"/>
      <c r="E5" s="181"/>
      <c r="F5" s="179" t="s">
        <v>5</v>
      </c>
      <c r="G5" s="180"/>
      <c r="H5" s="181"/>
      <c r="I5" s="182"/>
      <c r="J5" s="182"/>
      <c r="K5" s="175"/>
      <c r="L5" s="177"/>
      <c r="M5" s="177"/>
      <c r="N5" s="177"/>
    </row>
    <row r="6">
      <c r="A6" s="116"/>
      <c r="B6" s="183"/>
      <c r="C6" s="184" t="s">
        <v>1300</v>
      </c>
      <c r="D6" s="185" t="s">
        <v>1318</v>
      </c>
      <c r="E6" s="186" t="s">
        <v>2</v>
      </c>
      <c r="F6" s="187" t="s">
        <v>1300</v>
      </c>
      <c r="G6" s="188" t="s">
        <v>1318</v>
      </c>
      <c r="H6" s="188" t="s">
        <v>2</v>
      </c>
      <c r="I6" s="101"/>
      <c r="J6" s="101"/>
      <c r="K6" s="101"/>
      <c r="L6" s="177"/>
      <c r="M6" s="177"/>
      <c r="N6" s="177"/>
    </row>
    <row r="7">
      <c r="A7" s="116"/>
      <c r="B7" s="189" t="s">
        <v>1301</v>
      </c>
      <c r="C7" s="190">
        <f>countifs('Elligible Training Institutes R'!$G$9:$G$19,"Private",'Elligible Training Institutes R'!$L$9:$L$19,"No")</f>
        <v>0</v>
      </c>
      <c r="D7" s="190">
        <f>countifs('Elligible Training Institutes R'!$G$9:$G$19,"Govt",'Elligible Training Institutes R'!$L$9:$L$19,"No") + D14</f>
        <v>0</v>
      </c>
      <c r="E7" s="191">
        <f t="shared" ref="E7:E8" si="1">SUM(C7:D7)</f>
        <v>0</v>
      </c>
      <c r="F7" s="190">
        <f>countifs('Elligible Training Institutes R'!$G$9:$G$19,"Private",'Elligible Training Institutes R'!$L$9:$L$19,"Yes")</f>
        <v>0</v>
      </c>
      <c r="G7" s="192">
        <f>countifs('Elligible Training Institutes R'!$G$9:$G$19,"Govt",'Elligible Training Institutes R'!$L$9:$L$19,"Yes") + C14</f>
        <v>0</v>
      </c>
      <c r="H7" s="193">
        <f>countif('Elligible Training Institutes R'!$L$9:$L$19,"Yes")</f>
        <v>11</v>
      </c>
      <c r="I7" s="194"/>
      <c r="J7" s="7"/>
      <c r="K7" s="8"/>
      <c r="L7" s="177"/>
      <c r="M7" s="177"/>
      <c r="N7" s="177"/>
    </row>
    <row r="8">
      <c r="A8" s="116"/>
      <c r="B8" s="195" t="s">
        <v>1304</v>
      </c>
      <c r="C8" s="196">
        <f>(H18-F8)-73</f>
        <v>-73</v>
      </c>
      <c r="D8" s="197">
        <f>(E18+B18)-(G8+C18)</f>
        <v>0</v>
      </c>
      <c r="E8" s="198">
        <f t="shared" si="1"/>
        <v>-73</v>
      </c>
      <c r="F8" s="199">
        <f>sumifs('Elligible Training Institutes R'!$S$9:$S$19,'Elligible Training Institutes R'!$G$9:$G$19,"Private",'Elligible Training Institutes R'!$L$9:$L$19,"Yes")</f>
        <v>0</v>
      </c>
      <c r="G8" s="200">
        <f>sumifs('Elligible Training Institutes R'!$S$9:$S$19,'Elligible Training Institutes R'!$G$9:$G$19,"Govt",'Elligible Training Institutes R'!$L$9:$L$19,"Yes")</f>
        <v>0</v>
      </c>
      <c r="H8" s="200">
        <f>F8+G8</f>
        <v>0</v>
      </c>
      <c r="I8" s="174"/>
      <c r="J8" s="174"/>
      <c r="K8" s="174"/>
      <c r="L8" s="177"/>
      <c r="M8" s="177"/>
      <c r="N8" s="177"/>
    </row>
    <row r="9">
      <c r="A9" s="116"/>
      <c r="B9" s="201"/>
      <c r="C9" s="202" t="str">
        <f>round(C8/D9*100,0)&amp; "%"</f>
        <v>#DIV/0!</v>
      </c>
      <c r="D9" s="203">
        <f>sum('Elligible Training Institutes R'!$S:$S)</f>
        <v>0</v>
      </c>
      <c r="E9" s="204" t="str">
        <f>IFERROR(__xludf.DUMMYFUNCTION("JOIN(""("",round(E8/D9*100,1)&amp; ""%"")"),"#DIV/0!")</f>
        <v>#DIV/0!</v>
      </c>
      <c r="F9" s="205"/>
      <c r="G9" s="205"/>
      <c r="H9" s="206"/>
      <c r="I9" s="205"/>
      <c r="J9" s="205"/>
      <c r="K9" s="205"/>
      <c r="L9" s="205"/>
      <c r="M9" s="205"/>
      <c r="N9" s="207"/>
    </row>
    <row r="10">
      <c r="A10" s="116"/>
      <c r="B10" s="208"/>
      <c r="C10" s="174"/>
      <c r="D10" s="209"/>
      <c r="E10" s="209"/>
      <c r="F10" s="101"/>
      <c r="G10" s="205"/>
      <c r="H10" s="210"/>
      <c r="I10" s="101"/>
      <c r="J10" s="101"/>
      <c r="K10" s="101"/>
      <c r="L10" s="101"/>
      <c r="M10" s="101"/>
      <c r="N10" s="101"/>
    </row>
    <row r="11">
      <c r="A11" s="116"/>
      <c r="B11" s="150" t="s">
        <v>1319</v>
      </c>
      <c r="C11" s="139"/>
      <c r="D11" s="211"/>
      <c r="E11" s="211"/>
      <c r="F11" s="103"/>
      <c r="G11" s="212"/>
      <c r="H11" s="104"/>
      <c r="I11" s="103"/>
      <c r="J11" s="103"/>
      <c r="K11" s="98"/>
      <c r="L11" s="98"/>
      <c r="M11" s="98"/>
      <c r="N11" s="98"/>
    </row>
    <row r="12">
      <c r="A12" s="116"/>
      <c r="B12" s="213" t="s">
        <v>1298</v>
      </c>
      <c r="C12" s="214"/>
      <c r="D12" s="215"/>
      <c r="E12" s="110" t="s">
        <v>1299</v>
      </c>
      <c r="F12" s="111"/>
      <c r="G12" s="112"/>
      <c r="H12" s="110" t="s">
        <v>1300</v>
      </c>
      <c r="I12" s="111"/>
      <c r="J12" s="216"/>
      <c r="K12" s="146"/>
      <c r="L12" s="98"/>
      <c r="M12" s="98"/>
      <c r="N12" s="98"/>
    </row>
    <row r="13">
      <c r="A13" s="116"/>
      <c r="B13" s="114" t="s">
        <v>2</v>
      </c>
      <c r="C13" s="115" t="s">
        <v>5</v>
      </c>
      <c r="D13" s="114" t="s">
        <v>1303</v>
      </c>
      <c r="E13" s="114" t="s">
        <v>2</v>
      </c>
      <c r="F13" s="114" t="s">
        <v>5</v>
      </c>
      <c r="G13" s="114" t="s">
        <v>1303</v>
      </c>
      <c r="H13" s="114" t="s">
        <v>2</v>
      </c>
      <c r="I13" s="114" t="s">
        <v>5</v>
      </c>
      <c r="J13" s="114" t="s">
        <v>1303</v>
      </c>
      <c r="K13" s="146"/>
      <c r="L13" s="98"/>
      <c r="M13" s="98"/>
      <c r="N13" s="98"/>
    </row>
    <row r="14">
      <c r="A14" s="116"/>
      <c r="B14" s="119">
        <f>countif('Elligible Training Institutes R'!$G$9:$G$19,"Central Govt.")</f>
        <v>0</v>
      </c>
      <c r="C14" s="120">
        <f>countifs('Elligible Training Institutes R'!$G$9:$G$19,"Central Govt.",'Elligible Training Institutes R'!$L$9:$L$19,"Yes")</f>
        <v>0</v>
      </c>
      <c r="D14" s="119">
        <f>countifs('Elligible Training Institutes R'!$G$9:$G$19,"Central Govt.",'Elligible Training Institutes R'!$L$9:$L$19,"No")</f>
        <v>0</v>
      </c>
      <c r="E14" s="119">
        <f>countif('Elligible Training Institutes R'!$G$9:$G$19,"Govt")</f>
        <v>0</v>
      </c>
      <c r="F14" s="119">
        <f>countifs('Elligible Training Institutes R'!$G$9:$G$19,"Govt",'Elligible Training Institutes R'!$L$9:$L$19,"Yes")</f>
        <v>0</v>
      </c>
      <c r="G14" s="119">
        <f>countifs('Elligible Training Institutes R'!$G$9:$G$19,"Govt",'Elligible Training Institutes R'!$L$9:$L$19,"No")</f>
        <v>0</v>
      </c>
      <c r="H14" s="119">
        <f>COUNTIF('Elligible Training Institutes R'!$G$9:$G$19,"Private")</f>
        <v>0</v>
      </c>
      <c r="I14" s="119">
        <f>countifs('Elligible Training Institutes R'!$G$9:$G$19,"Private",'Elligible Training Institutes R'!$L$9:$L$19,"Yes")</f>
        <v>0</v>
      </c>
      <c r="J14" s="217">
        <f>countifs('Elligible Training Institutes R'!$G$9:$G$19,"Private",'Elligible Training Institutes R'!$L$9:$L$19,"No")</f>
        <v>0</v>
      </c>
      <c r="K14" s="146"/>
      <c r="L14" s="98"/>
      <c r="M14" s="98"/>
      <c r="N14" s="98"/>
    </row>
    <row r="15">
      <c r="A15" s="116"/>
      <c r="B15" s="150" t="s">
        <v>1320</v>
      </c>
      <c r="C15" s="218"/>
      <c r="D15" s="142"/>
      <c r="E15" s="142"/>
      <c r="F15" s="219"/>
      <c r="G15" s="220"/>
      <c r="H15" s="221"/>
      <c r="I15" s="219"/>
      <c r="J15" s="219"/>
      <c r="K15" s="98"/>
      <c r="L15" s="98"/>
      <c r="M15" s="98"/>
      <c r="N15" s="98"/>
    </row>
    <row r="16">
      <c r="A16" s="116"/>
      <c r="B16" s="128" t="s">
        <v>1298</v>
      </c>
      <c r="D16" s="109"/>
      <c r="E16" s="129" t="s">
        <v>1299</v>
      </c>
      <c r="F16" s="111"/>
      <c r="G16" s="112"/>
      <c r="H16" s="129" t="s">
        <v>1300</v>
      </c>
      <c r="I16" s="111"/>
      <c r="J16" s="216"/>
      <c r="K16" s="146"/>
      <c r="L16" s="98"/>
      <c r="M16" s="98"/>
      <c r="N16" s="98"/>
    </row>
    <row r="17">
      <c r="A17" s="116"/>
      <c r="B17" s="131" t="s">
        <v>2</v>
      </c>
      <c r="C17" s="132" t="s">
        <v>5</v>
      </c>
      <c r="D17" s="133" t="s">
        <v>1303</v>
      </c>
      <c r="E17" s="114" t="s">
        <v>2</v>
      </c>
      <c r="F17" s="114" t="s">
        <v>5</v>
      </c>
      <c r="G17" s="114" t="s">
        <v>1303</v>
      </c>
      <c r="H17" s="114" t="s">
        <v>2</v>
      </c>
      <c r="I17" s="114" t="s">
        <v>5</v>
      </c>
      <c r="J17" s="114" t="s">
        <v>1303</v>
      </c>
      <c r="K17" s="146"/>
      <c r="L17" s="98"/>
      <c r="M17" s="98"/>
      <c r="N17" s="98"/>
    </row>
    <row r="18">
      <c r="A18" s="116"/>
      <c r="B18" s="136">
        <f>SUMIF('Elligible Training Institutes R'!$G$9:$G$19,"Central Govt.",'Elligible Training Institutes R'!$S$9:$S$19)</f>
        <v>0</v>
      </c>
      <c r="C18" s="136">
        <f>sumifs('Elligible Training Institutes R'!$S$9:$S$19,'Elligible Training Institutes R'!$G$9:$G$19,"Central Govt.",'Elligible Training Institutes R'!$L$9:$L$19,"Yes")</f>
        <v>0</v>
      </c>
      <c r="D18" s="138">
        <f>B18-C18</f>
        <v>0</v>
      </c>
      <c r="E18" s="136">
        <f>SUMIF('Elligible Training Institutes R'!$G$9:$G$19,"Govt",'Elligible Training Institutes R'!$S$9:$S$19)</f>
        <v>0</v>
      </c>
      <c r="F18" s="136">
        <f>sumifs('Elligible Training Institutes R'!$S$9:$S$19,'Elligible Training Institutes R'!$G$9:$G$19,"Govt",'Elligible Training Institutes R'!$L$9:$L$19,"Yes")</f>
        <v>0</v>
      </c>
      <c r="G18" s="136">
        <f>E18-F18</f>
        <v>0</v>
      </c>
      <c r="H18" s="136">
        <f>SUMIF('Elligible Training Institutes R'!$G$9:$G$19,"Private",'Elligible Training Institutes R'!$S$9:$S$19)</f>
        <v>0</v>
      </c>
      <c r="I18" s="136">
        <f>sumifs('Elligible Training Institutes R'!$S$9:$S$19,'Elligible Training Institutes R'!$G$9:$G$19,"Private",'Elligible Training Institutes R'!$L$9:$L$19,"Yes")</f>
        <v>0</v>
      </c>
      <c r="J18" s="137">
        <f>H18-I18</f>
        <v>0</v>
      </c>
      <c r="K18" s="146"/>
      <c r="L18" s="98"/>
      <c r="M18" s="98"/>
      <c r="N18" s="98"/>
    </row>
    <row r="19">
      <c r="A19" s="116"/>
      <c r="B19" s="139"/>
      <c r="C19" s="140"/>
      <c r="D19" s="141"/>
      <c r="E19" s="142"/>
      <c r="F19" s="123"/>
      <c r="G19" s="143"/>
      <c r="H19" s="144"/>
      <c r="I19" s="123"/>
      <c r="J19" s="222"/>
      <c r="K19" s="98"/>
      <c r="L19" s="98"/>
      <c r="M19" s="98"/>
      <c r="N19" s="98"/>
    </row>
    <row r="20" hidden="1">
      <c r="A20" s="116"/>
      <c r="B20" s="114" t="s">
        <v>1304</v>
      </c>
      <c r="C20" s="114" t="s">
        <v>5</v>
      </c>
      <c r="D20" s="131" t="s">
        <v>1305</v>
      </c>
      <c r="E20" s="131" t="s">
        <v>1306</v>
      </c>
      <c r="F20" s="146"/>
      <c r="G20" s="147"/>
      <c r="H20" s="99"/>
      <c r="I20" s="98"/>
      <c r="J20" s="98"/>
      <c r="K20" s="123"/>
      <c r="L20" s="123"/>
      <c r="M20" s="123"/>
      <c r="N20" s="123"/>
    </row>
    <row r="21" hidden="1">
      <c r="A21" s="116"/>
      <c r="B21" s="135">
        <f>sum('Elligible Training Institutes R'!$S:$S)</f>
        <v>0</v>
      </c>
      <c r="C21" s="136">
        <f>SUMIF('Elligible Training Institutes R'!$L$9:$L$19,"Yes",'Elligible Training Institutes R'!$S$9:$S$19)</f>
        <v>0</v>
      </c>
      <c r="D21" s="137">
        <f>B21-C21</f>
        <v>0</v>
      </c>
      <c r="E21" s="148" t="str">
        <f>D21/C21</f>
        <v>#DIV/0!</v>
      </c>
      <c r="F21" s="146"/>
      <c r="G21" s="100"/>
      <c r="H21" s="99"/>
      <c r="I21" s="98"/>
      <c r="J21" s="98"/>
      <c r="K21" s="98"/>
      <c r="L21" s="98"/>
      <c r="M21" s="98"/>
      <c r="N21" s="98"/>
    </row>
    <row r="22">
      <c r="A22" s="149"/>
      <c r="B22" s="150" t="s">
        <v>1307</v>
      </c>
      <c r="C22" s="151"/>
      <c r="D22" s="151"/>
      <c r="E22" s="104"/>
      <c r="F22" s="103"/>
      <c r="G22" s="100"/>
      <c r="H22" s="99"/>
      <c r="I22" s="98"/>
      <c r="J22" s="98"/>
      <c r="K22" s="98"/>
      <c r="L22" s="98"/>
      <c r="M22" s="98"/>
      <c r="N22" s="98"/>
    </row>
    <row r="23" ht="21.0" customHeight="1">
      <c r="A23" s="116"/>
      <c r="B23" s="188" t="s">
        <v>1308</v>
      </c>
      <c r="C23" s="188" t="s">
        <v>1309</v>
      </c>
      <c r="D23" s="188" t="s">
        <v>1301</v>
      </c>
      <c r="E23" s="188" t="s">
        <v>1310</v>
      </c>
      <c r="F23" s="188" t="s">
        <v>1311</v>
      </c>
      <c r="G23" s="184" t="s">
        <v>1312</v>
      </c>
      <c r="H23" s="223" t="s">
        <v>1313</v>
      </c>
      <c r="I23" s="223" t="s">
        <v>1314</v>
      </c>
      <c r="J23" s="98"/>
      <c r="K23" s="98"/>
      <c r="L23" s="98"/>
      <c r="M23" s="98"/>
      <c r="N23" s="98"/>
    </row>
    <row r="24">
      <c r="A24" s="116"/>
      <c r="B24" s="155">
        <v>1.0</v>
      </c>
      <c r="C24" s="155" t="s">
        <v>1315</v>
      </c>
      <c r="D24" s="156">
        <f>countif('Elligible Training Institutes R'!$F$9:$F$19,C24)</f>
        <v>0</v>
      </c>
      <c r="E24" s="157">
        <f>COUNTIFS('Elligible Training Institutes R'!$F$9:$F$19,C24,'Elligible Training Institutes R'!$L$9:$L$19,"Yes")</f>
        <v>0</v>
      </c>
      <c r="F24" s="157">
        <f>COUNTIFS('Elligible Training Institutes R'!$F$9:$F$19,C24,'Elligible Training Institutes R'!$L$9:$L$19,"No")</f>
        <v>0</v>
      </c>
      <c r="G24" s="159" t="str">
        <f t="shared" ref="G24:G94" si="2">E24/D24*100</f>
        <v>#DIV/0!</v>
      </c>
      <c r="H24" s="160">
        <v>2160.0</v>
      </c>
      <c r="I24" s="160" t="s">
        <v>1316</v>
      </c>
      <c r="J24" s="161"/>
      <c r="K24" s="98"/>
      <c r="L24" s="98"/>
      <c r="M24" s="98"/>
      <c r="N24" s="98"/>
    </row>
    <row r="25">
      <c r="A25" s="116"/>
      <c r="B25" s="155">
        <v>2.0</v>
      </c>
      <c r="C25" s="155"/>
      <c r="D25" s="156">
        <f>countif('Elligible Training Institutes R'!$F$9:$F$19,C25)</f>
        <v>0</v>
      </c>
      <c r="E25" s="157">
        <f>COUNTIFS('Elligible Training Institutes R'!$F$9:$F$19,C25,'Elligible Training Institutes R'!$L$9:$L$19,"Yes")</f>
        <v>0</v>
      </c>
      <c r="F25" s="157">
        <f>COUNTIFS('Elligible Training Institutes R'!$F$9:$F$19,C25,'Elligible Training Institutes R'!$L$9:$L$19,"No")</f>
        <v>0</v>
      </c>
      <c r="G25" s="159" t="str">
        <f t="shared" si="2"/>
        <v>#DIV/0!</v>
      </c>
      <c r="H25" s="160">
        <v>1195.0</v>
      </c>
      <c r="I25" s="160">
        <v>146.0</v>
      </c>
      <c r="J25" s="161"/>
      <c r="K25" s="98"/>
      <c r="L25" s="98"/>
      <c r="M25" s="98"/>
      <c r="N25" s="98"/>
    </row>
    <row r="26">
      <c r="A26" s="116"/>
      <c r="B26" s="155">
        <v>3.0</v>
      </c>
      <c r="C26" s="155"/>
      <c r="D26" s="156">
        <f>countif('Elligible Training Institutes R'!$F$9:$F$19,C26)</f>
        <v>0</v>
      </c>
      <c r="E26" s="157">
        <f>COUNTIFS('Elligible Training Institutes R'!$F$9:$F$19,C26,'Elligible Training Institutes R'!$L$9:$L$19,"Yes")</f>
        <v>0</v>
      </c>
      <c r="F26" s="157">
        <f>COUNTIFS('Elligible Training Institutes R'!$F$9:$F$19,C26,'Elligible Training Institutes R'!$L$9:$L$19,"No")</f>
        <v>0</v>
      </c>
      <c r="G26" s="159" t="str">
        <f t="shared" si="2"/>
        <v>#DIV/0!</v>
      </c>
      <c r="H26" s="160">
        <v>494.0</v>
      </c>
      <c r="I26" s="160" t="s">
        <v>1316</v>
      </c>
      <c r="J26" s="161"/>
      <c r="K26" s="98"/>
      <c r="L26" s="98"/>
      <c r="M26" s="98"/>
      <c r="N26" s="98"/>
    </row>
    <row r="27">
      <c r="A27" s="116"/>
      <c r="B27" s="155">
        <v>4.0</v>
      </c>
      <c r="C27" s="155"/>
      <c r="D27" s="156">
        <f>countif('Elligible Training Institutes R'!$F$9:$F$19,C27)</f>
        <v>0</v>
      </c>
      <c r="E27" s="157">
        <f>COUNTIFS('Elligible Training Institutes R'!$F$9:$F$19,C27,'Elligible Training Institutes R'!$L$9:$L$19,"Yes")</f>
        <v>0</v>
      </c>
      <c r="F27" s="157">
        <f>COUNTIFS('Elligible Training Institutes R'!$F$9:$F$19,C27,'Elligible Training Institutes R'!$L$9:$L$19,"No")</f>
        <v>0</v>
      </c>
      <c r="G27" s="159" t="str">
        <f t="shared" si="2"/>
        <v>#DIV/0!</v>
      </c>
      <c r="H27" s="160">
        <v>525.0</v>
      </c>
      <c r="I27" s="160" t="s">
        <v>1316</v>
      </c>
      <c r="J27" s="161"/>
      <c r="K27" s="98"/>
      <c r="L27" s="98"/>
      <c r="M27" s="98"/>
      <c r="N27" s="98"/>
    </row>
    <row r="28">
      <c r="A28" s="116"/>
      <c r="B28" s="155">
        <v>5.0</v>
      </c>
      <c r="C28" s="155"/>
      <c r="D28" s="156">
        <f>countif('Elligible Training Institutes R'!$F$9:$F$19,C28)</f>
        <v>0</v>
      </c>
      <c r="E28" s="157">
        <f>COUNTIFS('Elligible Training Institutes R'!$F$9:$F$19,C28,'Elligible Training Institutes R'!$L$9:$L$19,"Yes")</f>
        <v>0</v>
      </c>
      <c r="F28" s="157">
        <f>COUNTIFS('Elligible Training Institutes R'!$F$9:$F$19,C28,'Elligible Training Institutes R'!$L$9:$L$19,"No")</f>
        <v>0</v>
      </c>
      <c r="G28" s="159" t="str">
        <f t="shared" si="2"/>
        <v>#DIV/0!</v>
      </c>
      <c r="H28" s="160">
        <v>94.0</v>
      </c>
      <c r="I28" s="160" t="s">
        <v>1316</v>
      </c>
      <c r="J28" s="161"/>
      <c r="K28" s="98"/>
      <c r="L28" s="98"/>
      <c r="M28" s="98"/>
      <c r="N28" s="98"/>
    </row>
    <row r="29">
      <c r="A29" s="116"/>
      <c r="B29" s="155">
        <v>6.0</v>
      </c>
      <c r="C29" s="155"/>
      <c r="D29" s="156">
        <f>countif('Elligible Training Institutes R'!$F$9:$F$19,C29)</f>
        <v>0</v>
      </c>
      <c r="E29" s="157">
        <f>COUNTIFS('Elligible Training Institutes R'!$F$9:$F$19,C29,'Elligible Training Institutes R'!$L$9:$L$19,"Yes")</f>
        <v>0</v>
      </c>
      <c r="F29" s="157">
        <f>COUNTIFS('Elligible Training Institutes R'!$F$9:$F$19,C29,'Elligible Training Institutes R'!$L$9:$L$19,"No")</f>
        <v>0</v>
      </c>
      <c r="G29" s="159" t="str">
        <f t="shared" si="2"/>
        <v>#DIV/0!</v>
      </c>
      <c r="H29" s="160">
        <v>80.0</v>
      </c>
      <c r="I29" s="160" t="s">
        <v>1316</v>
      </c>
      <c r="J29" s="161"/>
      <c r="K29" s="98"/>
      <c r="L29" s="98"/>
      <c r="M29" s="98"/>
      <c r="N29" s="98"/>
    </row>
    <row r="30">
      <c r="A30" s="116"/>
      <c r="B30" s="155">
        <v>7.0</v>
      </c>
      <c r="C30" s="155"/>
      <c r="D30" s="156">
        <f>countif('Elligible Training Institutes R'!$F$9:$F$19,C30)</f>
        <v>0</v>
      </c>
      <c r="E30" s="157">
        <f>COUNTIFS('Elligible Training Institutes R'!$F$9:$F$19,C30,'Elligible Training Institutes R'!$L$9:$L$19,"Yes")</f>
        <v>0</v>
      </c>
      <c r="F30" s="157">
        <f>COUNTIFS('Elligible Training Institutes R'!$F$9:$F$19,C30,'Elligible Training Institutes R'!$L$9:$L$19,"No")</f>
        <v>0</v>
      </c>
      <c r="G30" s="159" t="str">
        <f t="shared" si="2"/>
        <v>#DIV/0!</v>
      </c>
      <c r="H30" s="160">
        <v>654.0</v>
      </c>
      <c r="I30" s="160" t="s">
        <v>1316</v>
      </c>
      <c r="J30" s="161"/>
      <c r="K30" s="98"/>
      <c r="L30" s="98"/>
      <c r="M30" s="98"/>
      <c r="N30" s="98"/>
    </row>
    <row r="31">
      <c r="A31" s="116"/>
      <c r="B31" s="155">
        <v>8.0</v>
      </c>
      <c r="C31" s="155"/>
      <c r="D31" s="156">
        <f>countif('Elligible Training Institutes R'!$F$9:$F$19,C31)</f>
        <v>0</v>
      </c>
      <c r="E31" s="157">
        <f>COUNTIFS('Elligible Training Institutes R'!$F$9:$F$19,C31,'Elligible Training Institutes R'!$L$9:$L$19,"Yes")</f>
        <v>0</v>
      </c>
      <c r="F31" s="157">
        <f>COUNTIFS('Elligible Training Institutes R'!$F$9:$F$19,C31,'Elligible Training Institutes R'!$L$9:$L$19,"No")</f>
        <v>0</v>
      </c>
      <c r="G31" s="159" t="str">
        <f t="shared" si="2"/>
        <v>#DIV/0!</v>
      </c>
      <c r="H31" s="160">
        <v>2134.0</v>
      </c>
      <c r="I31" s="160" t="s">
        <v>1316</v>
      </c>
      <c r="J31" s="161"/>
      <c r="K31" s="98"/>
      <c r="L31" s="98"/>
      <c r="M31" s="98"/>
      <c r="N31" s="98"/>
    </row>
    <row r="32">
      <c r="A32" s="116"/>
      <c r="B32" s="155">
        <v>9.0</v>
      </c>
      <c r="C32" s="155"/>
      <c r="D32" s="156">
        <f>countif('Elligible Training Institutes R'!$F$9:$F$19,C32)</f>
        <v>0</v>
      </c>
      <c r="E32" s="157">
        <f>COUNTIFS('Elligible Training Institutes R'!$F$9:$F$19,C32,'Elligible Training Institutes R'!$L$9:$L$19,"Yes")</f>
        <v>0</v>
      </c>
      <c r="F32" s="157">
        <f>COUNTIFS('Elligible Training Institutes R'!$F$9:$F$19,C32,'Elligible Training Institutes R'!$L$9:$L$19,"No")</f>
        <v>0</v>
      </c>
      <c r="G32" s="159" t="str">
        <f t="shared" si="2"/>
        <v>#DIV/0!</v>
      </c>
      <c r="H32" s="160">
        <v>437.0</v>
      </c>
      <c r="I32" s="160" t="s">
        <v>1316</v>
      </c>
      <c r="J32" s="161"/>
      <c r="K32" s="98"/>
      <c r="L32" s="98"/>
      <c r="M32" s="98"/>
      <c r="N32" s="98"/>
    </row>
    <row r="33">
      <c r="A33" s="116"/>
      <c r="B33" s="155">
        <v>10.0</v>
      </c>
      <c r="C33" s="155"/>
      <c r="D33" s="156">
        <f>countif('Elligible Training Institutes R'!$F$9:$F$19,C33)</f>
        <v>0</v>
      </c>
      <c r="E33" s="157">
        <f>COUNTIFS('Elligible Training Institutes R'!$F$9:$F$19,C33,'Elligible Training Institutes R'!$L$9:$L$19,"Yes")</f>
        <v>0</v>
      </c>
      <c r="F33" s="157">
        <f>COUNTIFS('Elligible Training Institutes R'!$F$9:$F$19,C33,'Elligible Training Institutes R'!$L$9:$L$19,"No")</f>
        <v>0</v>
      </c>
      <c r="G33" s="159" t="str">
        <f t="shared" si="2"/>
        <v>#DIV/0!</v>
      </c>
      <c r="H33" s="160">
        <v>402.0</v>
      </c>
      <c r="I33" s="160" t="s">
        <v>1316</v>
      </c>
      <c r="J33" s="161"/>
      <c r="K33" s="98"/>
      <c r="L33" s="98"/>
      <c r="M33" s="98"/>
      <c r="N33" s="98"/>
    </row>
    <row r="34">
      <c r="A34" s="116"/>
      <c r="B34" s="155">
        <v>11.0</v>
      </c>
      <c r="C34" s="155"/>
      <c r="D34" s="156">
        <f>countif('Elligible Training Institutes R'!$F$9:$F$19,C34)</f>
        <v>0</v>
      </c>
      <c r="E34" s="157">
        <f>COUNTIFS('Elligible Training Institutes R'!$F$9:$F$19,C34,'Elligible Training Institutes R'!$L$9:$L$19,"Yes")</f>
        <v>0</v>
      </c>
      <c r="F34" s="157">
        <f>COUNTIFS('Elligible Training Institutes R'!$F$9:$F$19,C34,'Elligible Training Institutes R'!$L$9:$L$19,"No")</f>
        <v>0</v>
      </c>
      <c r="G34" s="159" t="str">
        <f t="shared" si="2"/>
        <v>#DIV/0!</v>
      </c>
      <c r="H34" s="160">
        <v>966.0</v>
      </c>
      <c r="I34" s="160">
        <v>133.0</v>
      </c>
      <c r="J34" s="161"/>
      <c r="K34" s="98"/>
      <c r="L34" s="98"/>
      <c r="M34" s="98"/>
      <c r="N34" s="98"/>
    </row>
    <row r="35">
      <c r="A35" s="116"/>
      <c r="B35" s="155">
        <v>12.0</v>
      </c>
      <c r="C35" s="155"/>
      <c r="D35" s="156">
        <f>countif('Elligible Training Institutes R'!$F$9:$F$19,C35)</f>
        <v>0</v>
      </c>
      <c r="E35" s="157">
        <f>COUNTIFS('Elligible Training Institutes R'!$F$9:$F$19,C35,'Elligible Training Institutes R'!$L$9:$L$19,"Yes")</f>
        <v>0</v>
      </c>
      <c r="F35" s="157">
        <f>COUNTIFS('Elligible Training Institutes R'!$F$9:$F$19,C35,'Elligible Training Institutes R'!$L$9:$L$19,"No")</f>
        <v>0</v>
      </c>
      <c r="G35" s="159" t="str">
        <f t="shared" si="2"/>
        <v>#DIV/0!</v>
      </c>
      <c r="H35" s="160"/>
      <c r="I35" s="160">
        <v>24.0</v>
      </c>
      <c r="J35" s="161"/>
      <c r="K35" s="98"/>
      <c r="L35" s="98"/>
      <c r="M35" s="98"/>
      <c r="N35" s="98"/>
    </row>
    <row r="36">
      <c r="A36" s="116"/>
      <c r="B36" s="155">
        <v>13.0</v>
      </c>
      <c r="C36" s="155"/>
      <c r="D36" s="156">
        <f>countif('Elligible Training Institutes R'!$F$9:$F$19,C36)</f>
        <v>0</v>
      </c>
      <c r="E36" s="157">
        <f>COUNTIFS('Elligible Training Institutes R'!$F$9:$F$19,C36,'Elligible Training Institutes R'!$L$9:$L$19,"Yes")</f>
        <v>0</v>
      </c>
      <c r="F36" s="157">
        <f>COUNTIFS('Elligible Training Institutes R'!$F$9:$F$19,C36,'Elligible Training Institutes R'!$L$9:$L$19,"No")</f>
        <v>0</v>
      </c>
      <c r="G36" s="159" t="str">
        <f t="shared" si="2"/>
        <v>#DIV/0!</v>
      </c>
      <c r="H36" s="160">
        <v>259.0</v>
      </c>
      <c r="I36" s="160">
        <v>33.0</v>
      </c>
      <c r="J36" s="161"/>
      <c r="K36" s="98"/>
      <c r="L36" s="98"/>
      <c r="M36" s="98"/>
      <c r="N36" s="98"/>
    </row>
    <row r="37">
      <c r="A37" s="116"/>
      <c r="B37" s="155">
        <v>14.0</v>
      </c>
      <c r="C37" s="155"/>
      <c r="D37" s="156">
        <f>countif('Elligible Training Institutes R'!$F$9:$F$19,C37)</f>
        <v>0</v>
      </c>
      <c r="E37" s="157">
        <f>COUNTIFS('Elligible Training Institutes R'!$F$9:$F$19,C37,'Elligible Training Institutes R'!$L$9:$L$19,"Yes")</f>
        <v>0</v>
      </c>
      <c r="F37" s="157">
        <f>COUNTIFS('Elligible Training Institutes R'!$F$9:$F$19,C37,'Elligible Training Institutes R'!$L$9:$L$19,"No")</f>
        <v>0</v>
      </c>
      <c r="G37" s="159" t="str">
        <f t="shared" si="2"/>
        <v>#DIV/0!</v>
      </c>
      <c r="H37" s="160">
        <v>1072.0</v>
      </c>
      <c r="I37" s="160">
        <v>35.0</v>
      </c>
      <c r="J37" s="161"/>
      <c r="K37" s="98"/>
      <c r="L37" s="98"/>
      <c r="M37" s="98"/>
      <c r="N37" s="98"/>
    </row>
    <row r="38">
      <c r="A38" s="116"/>
      <c r="B38" s="155">
        <v>15.0</v>
      </c>
      <c r="C38" s="155"/>
      <c r="D38" s="156">
        <f>countif('Elligible Training Institutes R'!$F$9:$F$19,C38)</f>
        <v>0</v>
      </c>
      <c r="E38" s="157">
        <f>COUNTIFS('Elligible Training Institutes R'!$F$9:$F$19,C38,'Elligible Training Institutes R'!$L$9:$L$19,"Yes")</f>
        <v>0</v>
      </c>
      <c r="F38" s="157">
        <f>COUNTIFS('Elligible Training Institutes R'!$F$9:$F$19,C38,'Elligible Training Institutes R'!$L$9:$L$19,"No")</f>
        <v>0</v>
      </c>
      <c r="G38" s="159" t="str">
        <f t="shared" si="2"/>
        <v>#DIV/0!</v>
      </c>
      <c r="H38" s="160">
        <v>2848.0</v>
      </c>
      <c r="I38" s="160">
        <v>151.0</v>
      </c>
      <c r="J38" s="161"/>
      <c r="K38" s="98"/>
      <c r="L38" s="98"/>
      <c r="M38" s="98"/>
      <c r="N38" s="98"/>
    </row>
    <row r="39">
      <c r="A39" s="116"/>
      <c r="B39" s="155">
        <v>16.0</v>
      </c>
      <c r="C39" s="155"/>
      <c r="D39" s="156">
        <f>countif('Elligible Training Institutes R'!$F$9:$F$19,C39)</f>
        <v>0</v>
      </c>
      <c r="E39" s="157">
        <f>COUNTIFS('Elligible Training Institutes R'!$F$9:$F$19,C39,'Elligible Training Institutes R'!$L$9:$L$19,"Yes")</f>
        <v>0</v>
      </c>
      <c r="F39" s="157">
        <f>COUNTIFS('Elligible Training Institutes R'!$F$9:$F$19,C39,'Elligible Training Institutes R'!$L$9:$L$19,"No")</f>
        <v>0</v>
      </c>
      <c r="G39" s="159" t="str">
        <f t="shared" si="2"/>
        <v>#DIV/0!</v>
      </c>
      <c r="H39" s="160">
        <v>306.0</v>
      </c>
      <c r="I39" s="160" t="s">
        <v>1316</v>
      </c>
      <c r="J39" s="161"/>
      <c r="K39" s="98"/>
      <c r="L39" s="98"/>
      <c r="M39" s="98"/>
      <c r="N39" s="98"/>
    </row>
    <row r="40">
      <c r="A40" s="116"/>
      <c r="B40" s="155">
        <v>17.0</v>
      </c>
      <c r="C40" s="155"/>
      <c r="D40" s="156">
        <f>countif('Elligible Training Institutes R'!$F$9:$F$19,C40)</f>
        <v>0</v>
      </c>
      <c r="E40" s="157">
        <f>COUNTIFS('Elligible Training Institutes R'!$F$9:$F$19,C40,'Elligible Training Institutes R'!$L$9:$L$19,"Yes")</f>
        <v>0</v>
      </c>
      <c r="F40" s="157">
        <f>COUNTIFS('Elligible Training Institutes R'!$F$9:$F$19,C40,'Elligible Training Institutes R'!$L$9:$L$19,"No")</f>
        <v>0</v>
      </c>
      <c r="G40" s="159" t="str">
        <f t="shared" si="2"/>
        <v>#DIV/0!</v>
      </c>
      <c r="H40" s="160">
        <v>575.0</v>
      </c>
      <c r="I40" s="160">
        <v>98.0</v>
      </c>
      <c r="J40" s="161"/>
      <c r="K40" s="98"/>
      <c r="L40" s="98"/>
      <c r="M40" s="98"/>
      <c r="N40" s="98"/>
    </row>
    <row r="41">
      <c r="A41" s="116"/>
      <c r="B41" s="155">
        <v>18.0</v>
      </c>
      <c r="C41" s="155"/>
      <c r="D41" s="156">
        <f>countif('Elligible Training Institutes R'!$F$9:$F$19,C41)</f>
        <v>0</v>
      </c>
      <c r="E41" s="157">
        <f>COUNTIFS('Elligible Training Institutes R'!$F$9:$F$19,C41,'Elligible Training Institutes R'!$L$9:$L$19,"Yes")</f>
        <v>0</v>
      </c>
      <c r="F41" s="157">
        <f>COUNTIFS('Elligible Training Institutes R'!$F$9:$F$19,C41,'Elligible Training Institutes R'!$L$9:$L$19,"No")</f>
        <v>0</v>
      </c>
      <c r="G41" s="159" t="str">
        <f t="shared" si="2"/>
        <v>#DIV/0!</v>
      </c>
      <c r="H41" s="160">
        <v>222.0</v>
      </c>
      <c r="I41" s="160" t="s">
        <v>1316</v>
      </c>
      <c r="J41" s="161"/>
      <c r="K41" s="98"/>
      <c r="L41" s="98"/>
      <c r="M41" s="98"/>
      <c r="N41" s="98"/>
    </row>
    <row r="42">
      <c r="A42" s="116"/>
      <c r="B42" s="155">
        <v>19.0</v>
      </c>
      <c r="C42" s="155"/>
      <c r="D42" s="156">
        <f>countif('Elligible Training Institutes R'!$F$9:$F$19,C42)</f>
        <v>0</v>
      </c>
      <c r="E42" s="157">
        <f>COUNTIFS('Elligible Training Institutes R'!$F$9:$F$19,C42,'Elligible Training Institutes R'!$L$9:$L$19,"Yes")</f>
        <v>0</v>
      </c>
      <c r="F42" s="157">
        <f>COUNTIFS('Elligible Training Institutes R'!$F$9:$F$19,C42,'Elligible Training Institutes R'!$L$9:$L$19,"No")</f>
        <v>0</v>
      </c>
      <c r="G42" s="159" t="str">
        <f t="shared" si="2"/>
        <v>#DIV/0!</v>
      </c>
      <c r="H42" s="160">
        <v>624.0</v>
      </c>
      <c r="I42" s="160" t="s">
        <v>1316</v>
      </c>
      <c r="J42" s="161"/>
      <c r="K42" s="98"/>
      <c r="L42" s="98"/>
      <c r="M42" s="98"/>
      <c r="N42" s="98"/>
    </row>
    <row r="43">
      <c r="A43" s="116"/>
      <c r="B43" s="155">
        <v>20.0</v>
      </c>
      <c r="C43" s="155"/>
      <c r="D43" s="156">
        <f>countif('Elligible Training Institutes R'!$F$9:$F$19,C43)</f>
        <v>0</v>
      </c>
      <c r="E43" s="157">
        <f>COUNTIFS('Elligible Training Institutes R'!$F$9:$F$19,C43,'Elligible Training Institutes R'!$L$9:$L$19,"Yes")</f>
        <v>0</v>
      </c>
      <c r="F43" s="157">
        <f>COUNTIFS('Elligible Training Institutes R'!$F$9:$F$19,C43,'Elligible Training Institutes R'!$L$9:$L$19,"No")</f>
        <v>0</v>
      </c>
      <c r="G43" s="159" t="str">
        <f t="shared" si="2"/>
        <v>#DIV/0!</v>
      </c>
      <c r="H43" s="160"/>
      <c r="I43" s="160">
        <v>173.0</v>
      </c>
      <c r="J43" s="161"/>
      <c r="K43" s="98"/>
      <c r="L43" s="98"/>
      <c r="M43" s="98"/>
      <c r="N43" s="98"/>
    </row>
    <row r="44">
      <c r="A44" s="116"/>
      <c r="B44" s="155">
        <v>21.0</v>
      </c>
      <c r="C44" s="155"/>
      <c r="D44" s="156">
        <f>countif('Elligible Training Institutes R'!$F$9:$F$19,C44)</f>
        <v>0</v>
      </c>
      <c r="E44" s="157">
        <f>COUNTIFS('Elligible Training Institutes R'!$F$9:$F$19,C44,'Elligible Training Institutes R'!$L$9:$L$19,"Yes")</f>
        <v>0</v>
      </c>
      <c r="F44" s="157">
        <f>COUNTIFS('Elligible Training Institutes R'!$F$9:$F$19,C44,'Elligible Training Institutes R'!$L$9:$L$19,"No")</f>
        <v>0</v>
      </c>
      <c r="G44" s="159" t="str">
        <f t="shared" si="2"/>
        <v>#DIV/0!</v>
      </c>
      <c r="H44" s="160">
        <v>230.0</v>
      </c>
      <c r="I44" s="160">
        <v>19.0</v>
      </c>
      <c r="J44" s="161"/>
      <c r="K44" s="98"/>
      <c r="L44" s="98"/>
      <c r="M44" s="98"/>
      <c r="N44" s="98"/>
    </row>
    <row r="45">
      <c r="A45" s="116"/>
      <c r="B45" s="155">
        <v>22.0</v>
      </c>
      <c r="C45" s="155"/>
      <c r="D45" s="156">
        <f>countif('Elligible Training Institutes R'!$F$9:$F$19,C45)</f>
        <v>0</v>
      </c>
      <c r="E45" s="157">
        <f>COUNTIFS('Elligible Training Institutes R'!$F$9:$F$19,C45,'Elligible Training Institutes R'!$L$9:$L$19,"Yes")</f>
        <v>0</v>
      </c>
      <c r="F45" s="157">
        <f>COUNTIFS('Elligible Training Institutes R'!$F$9:$F$19,C45,'Elligible Training Institutes R'!$L$9:$L$19,"No")</f>
        <v>0</v>
      </c>
      <c r="G45" s="159" t="str">
        <f t="shared" si="2"/>
        <v>#DIV/0!</v>
      </c>
      <c r="H45" s="160">
        <v>91.0</v>
      </c>
      <c r="I45" s="160" t="s">
        <v>1316</v>
      </c>
      <c r="J45" s="161"/>
      <c r="K45" s="98"/>
      <c r="L45" s="98"/>
      <c r="M45" s="98"/>
      <c r="N45" s="98"/>
    </row>
    <row r="46">
      <c r="A46" s="116"/>
      <c r="B46" s="155">
        <v>23.0</v>
      </c>
      <c r="C46" s="155"/>
      <c r="D46" s="156">
        <f>countif('Elligible Training Institutes R'!$F$9:$F$19,C46)</f>
        <v>0</v>
      </c>
      <c r="E46" s="157">
        <f>COUNTIFS('Elligible Training Institutes R'!$F$9:$F$19,C46,'Elligible Training Institutes R'!$L$9:$L$19,"Yes")</f>
        <v>0</v>
      </c>
      <c r="F46" s="157">
        <f>COUNTIFS('Elligible Training Institutes R'!$F$9:$F$19,C46,'Elligible Training Institutes R'!$L$9:$L$19,"No")</f>
        <v>0</v>
      </c>
      <c r="G46" s="159" t="str">
        <f t="shared" si="2"/>
        <v>#DIV/0!</v>
      </c>
      <c r="H46" s="160">
        <v>759.0</v>
      </c>
      <c r="I46" s="160">
        <v>0.0</v>
      </c>
      <c r="J46" s="161"/>
      <c r="K46" s="98"/>
      <c r="L46" s="98"/>
      <c r="M46" s="98"/>
      <c r="N46" s="98"/>
    </row>
    <row r="47">
      <c r="A47" s="116"/>
      <c r="B47" s="155">
        <v>24.0</v>
      </c>
      <c r="C47" s="155"/>
      <c r="D47" s="156">
        <f>countif('Elligible Training Institutes R'!$F$9:$F$19,C47)</f>
        <v>0</v>
      </c>
      <c r="E47" s="157">
        <f>COUNTIFS('Elligible Training Institutes R'!$F$9:$F$19,C47,'Elligible Training Institutes R'!$L$9:$L$19,"Yes")</f>
        <v>0</v>
      </c>
      <c r="F47" s="157">
        <f>COUNTIFS('Elligible Training Institutes R'!$F$9:$F$19,C47,'Elligible Training Institutes R'!$L$9:$L$19,"No")</f>
        <v>0</v>
      </c>
      <c r="G47" s="159" t="str">
        <f t="shared" si="2"/>
        <v>#DIV/0!</v>
      </c>
      <c r="H47" s="160">
        <v>1141.0</v>
      </c>
      <c r="I47" s="160" t="s">
        <v>1316</v>
      </c>
      <c r="J47" s="161"/>
      <c r="K47" s="98"/>
      <c r="L47" s="98"/>
      <c r="M47" s="98"/>
      <c r="N47" s="98"/>
    </row>
    <row r="48">
      <c r="A48" s="116"/>
      <c r="B48" s="155">
        <v>25.0</v>
      </c>
      <c r="C48" s="155"/>
      <c r="D48" s="156">
        <f>countif('Elligible Training Institutes R'!$F$9:$F$19,C48)</f>
        <v>0</v>
      </c>
      <c r="E48" s="157">
        <f>COUNTIFS('Elligible Training Institutes R'!$F$9:$F$19,C48,'Elligible Training Institutes R'!$L$9:$L$19,"Yes")</f>
        <v>0</v>
      </c>
      <c r="F48" s="157">
        <f>COUNTIFS('Elligible Training Institutes R'!$F$9:$F$19,C48,'Elligible Training Institutes R'!$L$9:$L$19,"No")</f>
        <v>0</v>
      </c>
      <c r="G48" s="159" t="str">
        <f t="shared" si="2"/>
        <v>#DIV/0!</v>
      </c>
      <c r="H48" s="160">
        <v>141.0</v>
      </c>
      <c r="I48" s="160" t="s">
        <v>1316</v>
      </c>
      <c r="J48" s="161"/>
      <c r="K48" s="98"/>
      <c r="L48" s="98"/>
      <c r="M48" s="98"/>
      <c r="N48" s="98"/>
    </row>
    <row r="49">
      <c r="A49" s="116"/>
      <c r="B49" s="155">
        <v>26.0</v>
      </c>
      <c r="C49" s="155"/>
      <c r="D49" s="156">
        <f>countif('Elligible Training Institutes R'!$F$9:$F$19,C49)</f>
        <v>0</v>
      </c>
      <c r="E49" s="157">
        <f>COUNTIFS('Elligible Training Institutes R'!$F$9:$F$19,C49,'Elligible Training Institutes R'!$L$9:$L$19,"Yes")</f>
        <v>0</v>
      </c>
      <c r="F49" s="157">
        <f>COUNTIFS('Elligible Training Institutes R'!$F$9:$F$19,C49,'Elligible Training Institutes R'!$L$9:$L$19,"No")</f>
        <v>0</v>
      </c>
      <c r="G49" s="159" t="str">
        <f t="shared" si="2"/>
        <v>#DIV/0!</v>
      </c>
      <c r="H49" s="160">
        <v>592.0</v>
      </c>
      <c r="I49" s="160">
        <v>16.0</v>
      </c>
      <c r="J49" s="161"/>
      <c r="K49" s="98"/>
      <c r="L49" s="98"/>
      <c r="M49" s="98"/>
      <c r="N49" s="98"/>
    </row>
    <row r="50">
      <c r="A50" s="116"/>
      <c r="B50" s="155">
        <v>27.0</v>
      </c>
      <c r="C50" s="155"/>
      <c r="D50" s="156">
        <f>countif('Elligible Training Institutes R'!$F$9:$F$19,C50)</f>
        <v>0</v>
      </c>
      <c r="E50" s="157">
        <f>COUNTIFS('Elligible Training Institutes R'!$F$9:$F$19,C50,'Elligible Training Institutes R'!$L$9:$L$19,"Yes")</f>
        <v>0</v>
      </c>
      <c r="F50" s="157">
        <f>COUNTIFS('Elligible Training Institutes R'!$F$9:$F$19,C50,'Elligible Training Institutes R'!$L$9:$L$19,"No")</f>
        <v>0</v>
      </c>
      <c r="G50" s="159" t="str">
        <f t="shared" si="2"/>
        <v>#DIV/0!</v>
      </c>
      <c r="H50" s="160">
        <v>1465.0</v>
      </c>
      <c r="I50" s="160">
        <v>67.0</v>
      </c>
      <c r="J50" s="161"/>
      <c r="K50" s="98"/>
      <c r="L50" s="98"/>
      <c r="M50" s="98"/>
      <c r="N50" s="98"/>
    </row>
    <row r="51">
      <c r="A51" s="116"/>
      <c r="B51" s="155">
        <v>28.0</v>
      </c>
      <c r="C51" s="155"/>
      <c r="D51" s="156">
        <f>countif('Elligible Training Institutes R'!$F$9:$F$19,C51)</f>
        <v>0</v>
      </c>
      <c r="E51" s="157">
        <f>COUNTIFS('Elligible Training Institutes R'!$F$9:$F$19,C51,'Elligible Training Institutes R'!$L$9:$L$19,"Yes")</f>
        <v>0</v>
      </c>
      <c r="F51" s="157">
        <f>COUNTIFS('Elligible Training Institutes R'!$F$9:$F$19,C51,'Elligible Training Institutes R'!$L$9:$L$19,"No")</f>
        <v>0</v>
      </c>
      <c r="G51" s="159" t="str">
        <f t="shared" si="2"/>
        <v>#DIV/0!</v>
      </c>
      <c r="H51" s="160">
        <v>785.0</v>
      </c>
      <c r="I51" s="160">
        <v>326.0</v>
      </c>
      <c r="J51" s="161"/>
      <c r="K51" s="98"/>
      <c r="L51" s="98"/>
      <c r="M51" s="98"/>
      <c r="N51" s="98"/>
    </row>
    <row r="52">
      <c r="A52" s="116"/>
      <c r="B52" s="155">
        <v>29.0</v>
      </c>
      <c r="C52" s="155"/>
      <c r="D52" s="156">
        <f>countif('Elligible Training Institutes R'!$F$9:$F$19,C52)</f>
        <v>0</v>
      </c>
      <c r="E52" s="157">
        <f>COUNTIFS('Elligible Training Institutes R'!$F$9:$F$19,C52,'Elligible Training Institutes R'!$L$9:$L$19,"Yes")</f>
        <v>0</v>
      </c>
      <c r="F52" s="157">
        <f>COUNTIFS('Elligible Training Institutes R'!$F$9:$F$19,C52,'Elligible Training Institutes R'!$L$9:$L$19,"No")</f>
        <v>0</v>
      </c>
      <c r="G52" s="159" t="str">
        <f t="shared" si="2"/>
        <v>#DIV/0!</v>
      </c>
      <c r="H52" s="160">
        <v>1228.0</v>
      </c>
      <c r="I52" s="160" t="s">
        <v>1316</v>
      </c>
      <c r="J52" s="161"/>
      <c r="K52" s="98"/>
      <c r="L52" s="98"/>
      <c r="M52" s="98"/>
      <c r="N52" s="98"/>
    </row>
    <row r="53">
      <c r="A53" s="116"/>
      <c r="B53" s="155">
        <v>30.0</v>
      </c>
      <c r="C53" s="155"/>
      <c r="D53" s="156">
        <f>countif('Elligible Training Institutes R'!$F$9:$F$19,C53)</f>
        <v>0</v>
      </c>
      <c r="E53" s="157">
        <f>COUNTIFS('Elligible Training Institutes R'!$F$9:$F$19,C53,'Elligible Training Institutes R'!$L$9:$L$19,"Yes")</f>
        <v>0</v>
      </c>
      <c r="F53" s="157">
        <f>COUNTIFS('Elligible Training Institutes R'!$F$9:$F$19,C53,'Elligible Training Institutes R'!$L$9:$L$19,"No")</f>
        <v>0</v>
      </c>
      <c r="G53" s="159" t="str">
        <f t="shared" si="2"/>
        <v>#DIV/0!</v>
      </c>
      <c r="H53" s="160">
        <v>1638.0</v>
      </c>
      <c r="I53" s="160">
        <v>89.0</v>
      </c>
      <c r="J53" s="161"/>
      <c r="K53" s="98"/>
      <c r="L53" s="98"/>
      <c r="M53" s="98"/>
      <c r="N53" s="98"/>
    </row>
    <row r="54">
      <c r="A54" s="116"/>
      <c r="B54" s="155">
        <v>31.0</v>
      </c>
      <c r="C54" s="155"/>
      <c r="D54" s="156">
        <f>countif('Elligible Training Institutes R'!$F$9:$F$19,C54)</f>
        <v>0</v>
      </c>
      <c r="E54" s="157">
        <f>COUNTIFS('Elligible Training Institutes R'!$F$9:$F$19,C54,'Elligible Training Institutes R'!$L$9:$L$19,"Yes")</f>
        <v>0</v>
      </c>
      <c r="F54" s="157">
        <f>COUNTIFS('Elligible Training Institutes R'!$F$9:$F$19,C54,'Elligible Training Institutes R'!$L$9:$L$19,"No")</f>
        <v>0</v>
      </c>
      <c r="G54" s="159" t="str">
        <f t="shared" si="2"/>
        <v>#DIV/0!</v>
      </c>
      <c r="H54" s="160">
        <v>1916.0</v>
      </c>
      <c r="I54" s="160">
        <v>82.0</v>
      </c>
      <c r="J54" s="161"/>
      <c r="K54" s="98"/>
      <c r="L54" s="98"/>
      <c r="M54" s="98"/>
      <c r="N54" s="98"/>
    </row>
    <row r="55">
      <c r="A55" s="116"/>
      <c r="B55" s="155">
        <v>32.0</v>
      </c>
      <c r="C55" s="155"/>
      <c r="D55" s="156">
        <f>countif('Elligible Training Institutes R'!$F$9:$F$19,C55)</f>
        <v>0</v>
      </c>
      <c r="E55" s="157">
        <f>COUNTIFS('Elligible Training Institutes R'!$F$9:$F$19,C55,'Elligible Training Institutes R'!$L$9:$L$19,"Yes")</f>
        <v>0</v>
      </c>
      <c r="F55" s="157">
        <f>COUNTIFS('Elligible Training Institutes R'!$F$9:$F$19,C55,'Elligible Training Institutes R'!$L$9:$L$19,"No")</f>
        <v>0</v>
      </c>
      <c r="G55" s="159" t="str">
        <f t="shared" si="2"/>
        <v>#DIV/0!</v>
      </c>
      <c r="H55" s="160">
        <v>465.0</v>
      </c>
      <c r="I55" s="160" t="s">
        <v>1316</v>
      </c>
      <c r="J55" s="161"/>
      <c r="K55" s="98"/>
      <c r="L55" s="98"/>
      <c r="M55" s="98"/>
      <c r="N55" s="98"/>
    </row>
    <row r="56">
      <c r="A56" s="116"/>
      <c r="B56" s="155">
        <v>33.0</v>
      </c>
      <c r="C56" s="155"/>
      <c r="D56" s="156">
        <f>countif('Elligible Training Institutes R'!$F$9:$F$19,C56)</f>
        <v>0</v>
      </c>
      <c r="E56" s="157">
        <f>COUNTIFS('Elligible Training Institutes R'!$F$9:$F$19,C56,'Elligible Training Institutes R'!$L$9:$L$19,"Yes")</f>
        <v>0</v>
      </c>
      <c r="F56" s="157">
        <f>COUNTIFS('Elligible Training Institutes R'!$F$9:$F$19,C56,'Elligible Training Institutes R'!$L$9:$L$19,"No")</f>
        <v>0</v>
      </c>
      <c r="G56" s="159" t="str">
        <f t="shared" si="2"/>
        <v>#DIV/0!</v>
      </c>
      <c r="H56" s="160">
        <v>663.0</v>
      </c>
      <c r="I56" s="160" t="s">
        <v>1316</v>
      </c>
      <c r="J56" s="161"/>
      <c r="K56" s="98"/>
      <c r="L56" s="98"/>
      <c r="M56" s="98"/>
      <c r="N56" s="98"/>
    </row>
    <row r="57">
      <c r="A57" s="116"/>
      <c r="B57" s="155">
        <v>34.0</v>
      </c>
      <c r="C57" s="155"/>
      <c r="D57" s="156">
        <f>countif('Elligible Training Institutes R'!$F$9:$F$19,C57)</f>
        <v>0</v>
      </c>
      <c r="E57" s="157">
        <f>COUNTIFS('Elligible Training Institutes R'!$F$9:$F$19,C57,'Elligible Training Institutes R'!$L$9:$L$19,"Yes")</f>
        <v>0</v>
      </c>
      <c r="F57" s="157">
        <f>COUNTIFS('Elligible Training Institutes R'!$F$9:$F$19,C57,'Elligible Training Institutes R'!$L$9:$L$19,"No")</f>
        <v>0</v>
      </c>
      <c r="G57" s="159" t="str">
        <f t="shared" si="2"/>
        <v>#DIV/0!</v>
      </c>
      <c r="H57" s="160">
        <v>711.0</v>
      </c>
      <c r="I57" s="160" t="s">
        <v>1316</v>
      </c>
      <c r="J57" s="161"/>
      <c r="K57" s="98"/>
      <c r="L57" s="98"/>
      <c r="M57" s="98"/>
      <c r="N57" s="98"/>
    </row>
    <row r="58">
      <c r="A58" s="116"/>
      <c r="B58" s="155">
        <v>35.0</v>
      </c>
      <c r="C58" s="155"/>
      <c r="D58" s="156">
        <f>countif('Elligible Training Institutes R'!$F$9:$F$19,C58)</f>
        <v>0</v>
      </c>
      <c r="E58" s="157">
        <f>COUNTIFS('Elligible Training Institutes R'!$F$9:$F$19,C58,'Elligible Training Institutes R'!$L$9:$L$19,"Yes")</f>
        <v>0</v>
      </c>
      <c r="F58" s="157">
        <f>COUNTIFS('Elligible Training Institutes R'!$F$9:$F$19,C58,'Elligible Training Institutes R'!$L$9:$L$19,"No")</f>
        <v>0</v>
      </c>
      <c r="G58" s="159" t="str">
        <f t="shared" si="2"/>
        <v>#DIV/0!</v>
      </c>
      <c r="H58" s="160">
        <v>1097.0</v>
      </c>
      <c r="I58" s="160" t="s">
        <v>1316</v>
      </c>
      <c r="J58" s="161"/>
      <c r="K58" s="98"/>
      <c r="L58" s="98"/>
      <c r="M58" s="98"/>
      <c r="N58" s="98"/>
    </row>
    <row r="59">
      <c r="A59" s="116"/>
      <c r="B59" s="155">
        <v>36.0</v>
      </c>
      <c r="C59" s="155"/>
      <c r="D59" s="156">
        <f>countif('Elligible Training Institutes R'!$F$9:$F$19,C59)</f>
        <v>0</v>
      </c>
      <c r="E59" s="157">
        <f>COUNTIFS('Elligible Training Institutes R'!$F$9:$F$19,C59,'Elligible Training Institutes R'!$L$9:$L$19,"Yes")</f>
        <v>0</v>
      </c>
      <c r="F59" s="157">
        <f>COUNTIFS('Elligible Training Institutes R'!$F$9:$F$19,C59,'Elligible Training Institutes R'!$L$9:$L$19,"No")</f>
        <v>0</v>
      </c>
      <c r="G59" s="159" t="str">
        <f t="shared" si="2"/>
        <v>#DIV/0!</v>
      </c>
      <c r="H59" s="160">
        <v>2391.0</v>
      </c>
      <c r="I59" s="160" t="s">
        <v>1316</v>
      </c>
      <c r="J59" s="161"/>
      <c r="K59" s="98"/>
      <c r="L59" s="98"/>
      <c r="M59" s="98"/>
      <c r="N59" s="98"/>
    </row>
    <row r="60">
      <c r="A60" s="116"/>
      <c r="B60" s="155">
        <v>37.0</v>
      </c>
      <c r="C60" s="155"/>
      <c r="D60" s="156">
        <f>countif('Elligible Training Institutes R'!$F$9:$F$19,C60)</f>
        <v>0</v>
      </c>
      <c r="E60" s="157">
        <f>COUNTIFS('Elligible Training Institutes R'!$F$9:$F$19,C60,'Elligible Training Institutes R'!$L$9:$L$19,"Yes")</f>
        <v>0</v>
      </c>
      <c r="F60" s="157">
        <f>COUNTIFS('Elligible Training Institutes R'!$F$9:$F$19,C60,'Elligible Training Institutes R'!$L$9:$L$19,"No")</f>
        <v>0</v>
      </c>
      <c r="G60" s="159" t="str">
        <f t="shared" si="2"/>
        <v>#DIV/0!</v>
      </c>
      <c r="H60" s="160">
        <v>771.0</v>
      </c>
      <c r="I60" s="160">
        <v>205.0</v>
      </c>
      <c r="J60" s="161"/>
      <c r="K60" s="98"/>
      <c r="L60" s="98"/>
      <c r="M60" s="98"/>
      <c r="N60" s="98"/>
    </row>
    <row r="61">
      <c r="A61" s="116"/>
      <c r="B61" s="155">
        <v>38.0</v>
      </c>
      <c r="C61" s="155"/>
      <c r="D61" s="156">
        <f>countif('Elligible Training Institutes R'!$F$9:$F$19,C61)</f>
        <v>0</v>
      </c>
      <c r="E61" s="157">
        <f>COUNTIFS('Elligible Training Institutes R'!$F$9:$F$19,C61,'Elligible Training Institutes R'!$L$9:$L$19,"Yes")</f>
        <v>0</v>
      </c>
      <c r="F61" s="157">
        <f>COUNTIFS('Elligible Training Institutes R'!$F$9:$F$19,C61,'Elligible Training Institutes R'!$L$9:$L$19,"No")</f>
        <v>0</v>
      </c>
      <c r="G61" s="159" t="str">
        <f t="shared" si="2"/>
        <v>#DIV/0!</v>
      </c>
      <c r="H61" s="160">
        <v>249.0</v>
      </c>
      <c r="I61" s="160">
        <v>35.0</v>
      </c>
      <c r="J61" s="161"/>
      <c r="K61" s="98"/>
      <c r="L61" s="98"/>
      <c r="M61" s="98"/>
      <c r="N61" s="98"/>
    </row>
    <row r="62">
      <c r="A62" s="116"/>
      <c r="B62" s="155">
        <v>39.0</v>
      </c>
      <c r="C62" s="155"/>
      <c r="D62" s="156">
        <f>countif('Elligible Training Institutes R'!$F$9:$F$19,C62)</f>
        <v>0</v>
      </c>
      <c r="E62" s="157">
        <f>COUNTIFS('Elligible Training Institutes R'!$F$9:$F$19,C62,'Elligible Training Institutes R'!$L$9:$L$19,"Yes")</f>
        <v>0</v>
      </c>
      <c r="F62" s="157">
        <f>COUNTIFS('Elligible Training Institutes R'!$F$9:$F$19,C62,'Elligible Training Institutes R'!$L$9:$L$19,"No")</f>
        <v>0</v>
      </c>
      <c r="G62" s="159" t="str">
        <f t="shared" si="2"/>
        <v>#DIV/0!</v>
      </c>
      <c r="H62" s="160">
        <v>3881.0</v>
      </c>
      <c r="I62" s="160">
        <v>50.0</v>
      </c>
      <c r="J62" s="161"/>
      <c r="K62" s="98"/>
      <c r="L62" s="98"/>
      <c r="M62" s="98"/>
      <c r="N62" s="98"/>
    </row>
    <row r="63">
      <c r="A63" s="116"/>
      <c r="B63" s="155">
        <v>40.0</v>
      </c>
      <c r="C63" s="155"/>
      <c r="D63" s="156">
        <f>countif('Elligible Training Institutes R'!$F$9:$F$19,C63)</f>
        <v>0</v>
      </c>
      <c r="E63" s="157">
        <f>COUNTIFS('Elligible Training Institutes R'!$F$9:$F$19,C63,'Elligible Training Institutes R'!$L$9:$L$19,"Yes")</f>
        <v>0</v>
      </c>
      <c r="F63" s="157">
        <f>COUNTIFS('Elligible Training Institutes R'!$F$9:$F$19,C63,'Elligible Training Institutes R'!$L$9:$L$19,"No")</f>
        <v>0</v>
      </c>
      <c r="G63" s="159" t="str">
        <f t="shared" si="2"/>
        <v>#DIV/0!</v>
      </c>
      <c r="H63" s="160">
        <v>235.0</v>
      </c>
      <c r="I63" s="160" t="s">
        <v>1316</v>
      </c>
      <c r="J63" s="161"/>
      <c r="K63" s="98"/>
      <c r="L63" s="98"/>
      <c r="M63" s="98"/>
      <c r="N63" s="98"/>
    </row>
    <row r="64">
      <c r="A64" s="116"/>
      <c r="B64" s="155">
        <v>41.0</v>
      </c>
      <c r="C64" s="155"/>
      <c r="D64" s="156">
        <f>countif('Elligible Training Institutes R'!$F$9:$F$19,C64)</f>
        <v>0</v>
      </c>
      <c r="E64" s="157">
        <f>COUNTIFS('Elligible Training Institutes R'!$F$9:$F$19,C64,'Elligible Training Institutes R'!$L$9:$L$19,"Yes")</f>
        <v>0</v>
      </c>
      <c r="F64" s="157">
        <f>COUNTIFS('Elligible Training Institutes R'!$F$9:$F$19,C64,'Elligible Training Institutes R'!$L$9:$L$19,"No")</f>
        <v>0</v>
      </c>
      <c r="G64" s="159" t="str">
        <f t="shared" si="2"/>
        <v>#DIV/0!</v>
      </c>
      <c r="H64" s="160">
        <v>567.0</v>
      </c>
      <c r="I64" s="160" t="s">
        <v>1316</v>
      </c>
      <c r="J64" s="161"/>
      <c r="K64" s="98"/>
      <c r="L64" s="98"/>
      <c r="M64" s="98"/>
      <c r="N64" s="98"/>
    </row>
    <row r="65">
      <c r="A65" s="116"/>
      <c r="B65" s="155">
        <v>42.0</v>
      </c>
      <c r="C65" s="155"/>
      <c r="D65" s="156">
        <f>countif('Elligible Training Institutes R'!$F$9:$F$19,C65)</f>
        <v>0</v>
      </c>
      <c r="E65" s="157">
        <f>COUNTIFS('Elligible Training Institutes R'!$F$9:$F$19,C65,'Elligible Training Institutes R'!$L$9:$L$19,"Yes")</f>
        <v>0</v>
      </c>
      <c r="F65" s="157">
        <f>COUNTIFS('Elligible Training Institutes R'!$F$9:$F$19,C65,'Elligible Training Institutes R'!$L$9:$L$19,"No")</f>
        <v>0</v>
      </c>
      <c r="G65" s="159" t="str">
        <f t="shared" si="2"/>
        <v>#DIV/0!</v>
      </c>
      <c r="H65" s="160">
        <v>286.0</v>
      </c>
      <c r="I65" s="160" t="s">
        <v>1316</v>
      </c>
      <c r="J65" s="161"/>
      <c r="K65" s="98"/>
      <c r="L65" s="98"/>
      <c r="M65" s="98"/>
      <c r="N65" s="98"/>
    </row>
    <row r="66">
      <c r="A66" s="116"/>
      <c r="B66" s="155">
        <v>43.0</v>
      </c>
      <c r="C66" s="155"/>
      <c r="D66" s="156">
        <f>countif('Elligible Training Institutes R'!$F$9:$F$19,C66)</f>
        <v>0</v>
      </c>
      <c r="E66" s="157">
        <f>COUNTIFS('Elligible Training Institutes R'!$F$9:$F$19,C66,'Elligible Training Institutes R'!$L$9:$L$19,"Yes")</f>
        <v>0</v>
      </c>
      <c r="F66" s="157">
        <f>COUNTIFS('Elligible Training Institutes R'!$F$9:$F$19,C66,'Elligible Training Institutes R'!$L$9:$L$19,"No")</f>
        <v>0</v>
      </c>
      <c r="G66" s="159" t="str">
        <f t="shared" si="2"/>
        <v>#DIV/0!</v>
      </c>
      <c r="H66" s="160">
        <v>350.0</v>
      </c>
      <c r="I66" s="160" t="s">
        <v>1316</v>
      </c>
      <c r="J66" s="161"/>
      <c r="K66" s="98"/>
      <c r="L66" s="98"/>
      <c r="M66" s="98"/>
      <c r="N66" s="98"/>
    </row>
    <row r="67">
      <c r="A67" s="116"/>
      <c r="B67" s="155">
        <v>44.0</v>
      </c>
      <c r="C67" s="155"/>
      <c r="D67" s="156">
        <f>countif('Elligible Training Institutes R'!$F$9:$F$19,C67)</f>
        <v>0</v>
      </c>
      <c r="E67" s="157">
        <f>COUNTIFS('Elligible Training Institutes R'!$F$9:$F$19,C67,'Elligible Training Institutes R'!$L$9:$L$19,"Yes")</f>
        <v>0</v>
      </c>
      <c r="F67" s="157">
        <f>COUNTIFS('Elligible Training Institutes R'!$F$9:$F$19,C67,'Elligible Training Institutes R'!$L$9:$L$19,"No")</f>
        <v>0</v>
      </c>
      <c r="G67" s="159" t="str">
        <f t="shared" si="2"/>
        <v>#DIV/0!</v>
      </c>
      <c r="H67" s="160">
        <v>388.0</v>
      </c>
      <c r="I67" s="160" t="s">
        <v>1316</v>
      </c>
      <c r="J67" s="161"/>
      <c r="K67" s="98"/>
      <c r="L67" s="98"/>
      <c r="M67" s="98"/>
      <c r="N67" s="98"/>
    </row>
    <row r="68">
      <c r="A68" s="116"/>
      <c r="B68" s="155">
        <v>45.0</v>
      </c>
      <c r="C68" s="155"/>
      <c r="D68" s="156">
        <f>countif('Elligible Training Institutes R'!$F$9:$F$19,C68)</f>
        <v>0</v>
      </c>
      <c r="E68" s="157">
        <f>COUNTIFS('Elligible Training Institutes R'!$F$9:$F$19,C68,'Elligible Training Institutes R'!$L$9:$L$19,"Yes")</f>
        <v>0</v>
      </c>
      <c r="F68" s="157">
        <f>COUNTIFS('Elligible Training Institutes R'!$F$9:$F$19,C68,'Elligible Training Institutes R'!$L$9:$L$19,"No")</f>
        <v>0</v>
      </c>
      <c r="G68" s="159" t="str">
        <f t="shared" si="2"/>
        <v>#DIV/0!</v>
      </c>
      <c r="H68" s="160">
        <v>11236.0</v>
      </c>
      <c r="I68" s="160">
        <v>1329.0</v>
      </c>
      <c r="J68" s="161"/>
      <c r="K68" s="98"/>
      <c r="L68" s="98"/>
      <c r="M68" s="98"/>
      <c r="N68" s="98"/>
    </row>
    <row r="69">
      <c r="A69" s="116"/>
      <c r="B69" s="155">
        <v>46.0</v>
      </c>
      <c r="C69" s="155"/>
      <c r="D69" s="156">
        <f>countif('Elligible Training Institutes R'!$F$9:$F$19,C69)</f>
        <v>0</v>
      </c>
      <c r="E69" s="157">
        <f>COUNTIFS('Elligible Training Institutes R'!$F$9:$F$19,C69,'Elligible Training Institutes R'!$L$9:$L$19,"Yes")</f>
        <v>0</v>
      </c>
      <c r="F69" s="157">
        <f>COUNTIFS('Elligible Training Institutes R'!$F$9:$F$19,C69,'Elligible Training Institutes R'!$L$9:$L$19,"No")</f>
        <v>0</v>
      </c>
      <c r="G69" s="159" t="str">
        <f t="shared" si="2"/>
        <v>#DIV/0!</v>
      </c>
      <c r="H69" s="160">
        <v>574.0</v>
      </c>
      <c r="I69" s="160" t="s">
        <v>1316</v>
      </c>
      <c r="J69" s="161"/>
      <c r="K69" s="98"/>
      <c r="L69" s="98"/>
      <c r="M69" s="98"/>
      <c r="N69" s="98"/>
    </row>
    <row r="70">
      <c r="A70" s="116"/>
      <c r="B70" s="155">
        <v>47.0</v>
      </c>
      <c r="C70" s="155"/>
      <c r="D70" s="156">
        <f>countif('Elligible Training Institutes R'!$F$9:$F$19,C70)</f>
        <v>0</v>
      </c>
      <c r="E70" s="157">
        <f>COUNTIFS('Elligible Training Institutes R'!$F$9:$F$19,C70,'Elligible Training Institutes R'!$L$9:$L$19,"Yes")</f>
        <v>0</v>
      </c>
      <c r="F70" s="157">
        <f>COUNTIFS('Elligible Training Institutes R'!$F$9:$F$19,C70,'Elligible Training Institutes R'!$L$9:$L$19,"No")</f>
        <v>0</v>
      </c>
      <c r="G70" s="159" t="str">
        <f t="shared" si="2"/>
        <v>#DIV/0!</v>
      </c>
      <c r="H70" s="160">
        <v>209.0</v>
      </c>
      <c r="I70" s="160" t="s">
        <v>1316</v>
      </c>
      <c r="J70" s="161"/>
      <c r="K70" s="98"/>
      <c r="L70" s="98"/>
      <c r="M70" s="98"/>
      <c r="N70" s="98"/>
    </row>
    <row r="71">
      <c r="A71" s="116"/>
      <c r="B71" s="155">
        <v>48.0</v>
      </c>
      <c r="C71" s="155"/>
      <c r="D71" s="156">
        <f>countif('Elligible Training Institutes R'!$F$9:$F$19,C71)</f>
        <v>0</v>
      </c>
      <c r="E71" s="157">
        <f>COUNTIFS('Elligible Training Institutes R'!$F$9:$F$19,C71,'Elligible Training Institutes R'!$L$9:$L$19,"Yes")</f>
        <v>0</v>
      </c>
      <c r="F71" s="157">
        <f>COUNTIFS('Elligible Training Institutes R'!$F$9:$F$19,C71,'Elligible Training Institutes R'!$L$9:$L$19,"No")</f>
        <v>0</v>
      </c>
      <c r="G71" s="159" t="str">
        <f t="shared" si="2"/>
        <v>#DIV/0!</v>
      </c>
      <c r="H71" s="160">
        <v>993.0</v>
      </c>
      <c r="I71" s="160" t="s">
        <v>1316</v>
      </c>
      <c r="J71" s="161"/>
      <c r="K71" s="98"/>
      <c r="L71" s="98"/>
      <c r="M71" s="98"/>
      <c r="N71" s="98"/>
    </row>
    <row r="72">
      <c r="A72" s="116"/>
      <c r="B72" s="155">
        <v>49.0</v>
      </c>
      <c r="C72" s="155"/>
      <c r="D72" s="156">
        <f>countif('Elligible Training Institutes R'!$F$9:$F$19,C72)</f>
        <v>0</v>
      </c>
      <c r="E72" s="157">
        <f>COUNTIFS('Elligible Training Institutes R'!$F$9:$F$19,C72,'Elligible Training Institutes R'!$L$9:$L$19,"Yes")</f>
        <v>0</v>
      </c>
      <c r="F72" s="157">
        <f>COUNTIFS('Elligible Training Institutes R'!$F$9:$F$19,C72,'Elligible Training Institutes R'!$L$9:$L$19,"No")</f>
        <v>0</v>
      </c>
      <c r="G72" s="159" t="str">
        <f t="shared" si="2"/>
        <v>#DIV/0!</v>
      </c>
      <c r="H72" s="160">
        <v>867.0</v>
      </c>
      <c r="I72" s="160" t="s">
        <v>1316</v>
      </c>
      <c r="J72" s="161"/>
      <c r="K72" s="98"/>
      <c r="L72" s="98"/>
      <c r="M72" s="98"/>
      <c r="N72" s="98"/>
    </row>
    <row r="73">
      <c r="A73" s="116"/>
      <c r="B73" s="155">
        <v>50.0</v>
      </c>
      <c r="C73" s="155"/>
      <c r="D73" s="156">
        <f>countif('Elligible Training Institutes R'!$F$9:$F$19,C73)</f>
        <v>0</v>
      </c>
      <c r="E73" s="157">
        <f>COUNTIFS('Elligible Training Institutes R'!$F$9:$F$19,C73,'Elligible Training Institutes R'!$L$9:$L$19,"Yes")</f>
        <v>0</v>
      </c>
      <c r="F73" s="157">
        <f>COUNTIFS('Elligible Training Institutes R'!$F$9:$F$19,C73,'Elligible Training Institutes R'!$L$9:$L$19,"No")</f>
        <v>0</v>
      </c>
      <c r="G73" s="159" t="str">
        <f t="shared" si="2"/>
        <v>#DIV/0!</v>
      </c>
      <c r="H73" s="160">
        <v>2534.0</v>
      </c>
      <c r="I73" s="160">
        <v>0.0</v>
      </c>
      <c r="J73" s="161"/>
      <c r="K73" s="98"/>
      <c r="L73" s="98"/>
      <c r="M73" s="98"/>
      <c r="N73" s="98"/>
    </row>
    <row r="74">
      <c r="A74" s="116"/>
      <c r="B74" s="155">
        <v>51.0</v>
      </c>
      <c r="C74" s="155"/>
      <c r="D74" s="156">
        <f>countif('Elligible Training Institutes R'!$F$9:$F$19,C74)</f>
        <v>0</v>
      </c>
      <c r="E74" s="157">
        <f>COUNTIFS('Elligible Training Institutes R'!$F$9:$F$19,C74,'Elligible Training Institutes R'!$L$9:$L$19,"Yes")</f>
        <v>0</v>
      </c>
      <c r="F74" s="157">
        <f>COUNTIFS('Elligible Training Institutes R'!$F$9:$F$19,C74,'Elligible Training Institutes R'!$L$9:$L$19,"No")</f>
        <v>0</v>
      </c>
      <c r="G74" s="159" t="str">
        <f t="shared" si="2"/>
        <v>#DIV/0!</v>
      </c>
      <c r="H74" s="160">
        <v>426.0</v>
      </c>
      <c r="I74" s="160">
        <v>54.0</v>
      </c>
      <c r="J74" s="161"/>
      <c r="K74" s="98"/>
      <c r="L74" s="98"/>
      <c r="M74" s="98"/>
      <c r="N74" s="98"/>
    </row>
    <row r="75">
      <c r="A75" s="116"/>
      <c r="B75" s="155">
        <v>52.0</v>
      </c>
      <c r="C75" s="155"/>
      <c r="D75" s="156">
        <f>countif('Elligible Training Institutes R'!$F$9:$F$19,C75)</f>
        <v>0</v>
      </c>
      <c r="E75" s="157">
        <f>COUNTIFS('Elligible Training Institutes R'!$F$9:$F$19,C75,'Elligible Training Institutes R'!$L$9:$L$19,"Yes")</f>
        <v>0</v>
      </c>
      <c r="F75" s="157">
        <f>COUNTIFS('Elligible Training Institutes R'!$F$9:$F$19,C75,'Elligible Training Institutes R'!$L$9:$L$19,"No")</f>
        <v>0</v>
      </c>
      <c r="G75" s="159" t="str">
        <f t="shared" si="2"/>
        <v>#DIV/0!</v>
      </c>
      <c r="H75" s="160">
        <v>1814.0</v>
      </c>
      <c r="I75" s="160">
        <v>4.0</v>
      </c>
      <c r="J75" s="161"/>
      <c r="K75" s="98"/>
      <c r="L75" s="98"/>
      <c r="M75" s="98"/>
      <c r="N75" s="98"/>
    </row>
    <row r="76">
      <c r="A76" s="116"/>
      <c r="B76" s="155">
        <v>53.0</v>
      </c>
      <c r="C76" s="155"/>
      <c r="D76" s="156">
        <f>countif('Elligible Training Institutes R'!$F$9:$F$19,C76)</f>
        <v>0</v>
      </c>
      <c r="E76" s="157">
        <f>COUNTIFS('Elligible Training Institutes R'!$F$9:$F$19,C76,'Elligible Training Institutes R'!$L$9:$L$19,"Yes")</f>
        <v>0</v>
      </c>
      <c r="F76" s="157">
        <f>COUNTIFS('Elligible Training Institutes R'!$F$9:$F$19,C76,'Elligible Training Institutes R'!$L$9:$L$19,"No")</f>
        <v>0</v>
      </c>
      <c r="G76" s="159" t="str">
        <f t="shared" si="2"/>
        <v>#DIV/0!</v>
      </c>
      <c r="H76" s="160">
        <v>481.0</v>
      </c>
      <c r="I76" s="160">
        <v>145.0</v>
      </c>
      <c r="J76" s="161"/>
      <c r="K76" s="98"/>
      <c r="L76" s="98"/>
      <c r="M76" s="98"/>
      <c r="N76" s="98"/>
    </row>
    <row r="77">
      <c r="A77" s="116"/>
      <c r="B77" s="155">
        <v>54.0</v>
      </c>
      <c r="C77" s="155"/>
      <c r="D77" s="156">
        <f>countif('Elligible Training Institutes R'!$F$9:$F$19,C77)</f>
        <v>0</v>
      </c>
      <c r="E77" s="157">
        <f>COUNTIFS('Elligible Training Institutes R'!$F$9:$F$19,C77,'Elligible Training Institutes R'!$L$9:$L$19,"Yes")</f>
        <v>0</v>
      </c>
      <c r="F77" s="157">
        <f>COUNTIFS('Elligible Training Institutes R'!$F$9:$F$19,C77,'Elligible Training Institutes R'!$L$9:$L$19,"No")</f>
        <v>0</v>
      </c>
      <c r="G77" s="159" t="str">
        <f t="shared" si="2"/>
        <v>#DIV/0!</v>
      </c>
      <c r="H77" s="160">
        <v>517.0</v>
      </c>
      <c r="I77" s="160">
        <v>8.0</v>
      </c>
      <c r="J77" s="161"/>
      <c r="K77" s="98"/>
      <c r="L77" s="98"/>
      <c r="M77" s="98"/>
      <c r="N77" s="98"/>
    </row>
    <row r="78">
      <c r="A78" s="116"/>
      <c r="B78" s="155">
        <v>55.0</v>
      </c>
      <c r="C78" s="155"/>
      <c r="D78" s="156">
        <f>countif('Elligible Training Institutes R'!$F$9:$F$19,C78)</f>
        <v>0</v>
      </c>
      <c r="E78" s="157">
        <f>COUNTIFS('Elligible Training Institutes R'!$F$9:$F$19,C78,'Elligible Training Institutes R'!$L$9:$L$19,"Yes")</f>
        <v>0</v>
      </c>
      <c r="F78" s="157">
        <f>COUNTIFS('Elligible Training Institutes R'!$F$9:$F$19,C78,'Elligible Training Institutes R'!$L$9:$L$19,"No")</f>
        <v>0</v>
      </c>
      <c r="G78" s="159" t="str">
        <f t="shared" si="2"/>
        <v>#DIV/0!</v>
      </c>
      <c r="H78" s="160">
        <v>736.0</v>
      </c>
      <c r="I78" s="160" t="s">
        <v>1316</v>
      </c>
      <c r="J78" s="161"/>
      <c r="K78" s="98"/>
      <c r="L78" s="98"/>
      <c r="M78" s="98"/>
      <c r="N78" s="98"/>
    </row>
    <row r="79">
      <c r="A79" s="116"/>
      <c r="B79" s="155">
        <v>56.0</v>
      </c>
      <c r="C79" s="155"/>
      <c r="D79" s="156">
        <f>countif('Elligible Training Institutes R'!$F$9:$F$19,C79)</f>
        <v>0</v>
      </c>
      <c r="E79" s="157">
        <f>COUNTIFS('Elligible Training Institutes R'!$F$9:$F$19,C79,'Elligible Training Institutes R'!$L$9:$L$19,"Yes")</f>
        <v>0</v>
      </c>
      <c r="F79" s="157">
        <f>COUNTIFS('Elligible Training Institutes R'!$F$9:$F$19,C79,'Elligible Training Institutes R'!$L$9:$L$19,"No")</f>
        <v>0</v>
      </c>
      <c r="G79" s="159" t="str">
        <f t="shared" si="2"/>
        <v>#DIV/0!</v>
      </c>
      <c r="H79" s="160">
        <v>3686.0</v>
      </c>
      <c r="I79" s="160">
        <v>9.0</v>
      </c>
      <c r="J79" s="161"/>
      <c r="K79" s="98"/>
      <c r="L79" s="98"/>
      <c r="M79" s="98"/>
      <c r="N79" s="98"/>
    </row>
    <row r="80">
      <c r="A80" s="116"/>
      <c r="B80" s="155">
        <v>57.0</v>
      </c>
      <c r="C80" s="155"/>
      <c r="D80" s="156">
        <f>countif('Elligible Training Institutes R'!$F$9:$F$19,C80)</f>
        <v>0</v>
      </c>
      <c r="E80" s="157">
        <f>COUNTIFS('Elligible Training Institutes R'!$F$9:$F$19,C80,'Elligible Training Institutes R'!$L$9:$L$19,"Yes")</f>
        <v>0</v>
      </c>
      <c r="F80" s="157">
        <f>COUNTIFS('Elligible Training Institutes R'!$F$9:$F$19,C80,'Elligible Training Institutes R'!$L$9:$L$19,"No")</f>
        <v>0</v>
      </c>
      <c r="G80" s="159" t="str">
        <f t="shared" si="2"/>
        <v>#DIV/0!</v>
      </c>
      <c r="H80" s="160">
        <v>509.0</v>
      </c>
      <c r="I80" s="160" t="s">
        <v>1316</v>
      </c>
      <c r="J80" s="161"/>
      <c r="K80" s="98"/>
      <c r="L80" s="98"/>
      <c r="M80" s="98"/>
      <c r="N80" s="98"/>
    </row>
    <row r="81">
      <c r="A81" s="116"/>
      <c r="B81" s="155">
        <v>58.0</v>
      </c>
      <c r="C81" s="155"/>
      <c r="D81" s="156">
        <f>countif('Elligible Training Institutes R'!$F$9:$F$19,C81)</f>
        <v>0</v>
      </c>
      <c r="E81" s="157">
        <f>COUNTIFS('Elligible Training Institutes R'!$F$9:$F$19,C81,'Elligible Training Institutes R'!$L$9:$L$19,"Yes")</f>
        <v>0</v>
      </c>
      <c r="F81" s="157">
        <f>COUNTIFS('Elligible Training Institutes R'!$F$9:$F$19,C81,'Elligible Training Institutes R'!$L$9:$L$19,"No")</f>
        <v>0</v>
      </c>
      <c r="G81" s="159" t="str">
        <f t="shared" si="2"/>
        <v>#DIV/0!</v>
      </c>
      <c r="H81" s="160">
        <v>539.0</v>
      </c>
      <c r="I81" s="160">
        <v>80.0</v>
      </c>
      <c r="J81" s="161"/>
      <c r="K81" s="98"/>
      <c r="L81" s="98"/>
      <c r="M81" s="98"/>
      <c r="N81" s="98"/>
    </row>
    <row r="82">
      <c r="A82" s="116"/>
      <c r="B82" s="155">
        <v>59.0</v>
      </c>
      <c r="C82" s="155"/>
      <c r="D82" s="156">
        <f>countif('Elligible Training Institutes R'!$F$9:$F$19,C82)</f>
        <v>0</v>
      </c>
      <c r="E82" s="157">
        <f>COUNTIFS('Elligible Training Institutes R'!$F$9:$F$19,C82,'Elligible Training Institutes R'!$L$9:$L$19,"Yes")</f>
        <v>0</v>
      </c>
      <c r="F82" s="157">
        <f>COUNTIFS('Elligible Training Institutes R'!$F$9:$F$19,C82,'Elligible Training Institutes R'!$L$9:$L$19,"No")</f>
        <v>0</v>
      </c>
      <c r="G82" s="159" t="str">
        <f t="shared" si="2"/>
        <v>#DIV/0!</v>
      </c>
      <c r="H82" s="160">
        <v>881.0</v>
      </c>
      <c r="I82" s="160">
        <v>466.0</v>
      </c>
      <c r="J82" s="161"/>
      <c r="K82" s="98"/>
      <c r="L82" s="98"/>
      <c r="M82" s="98"/>
      <c r="N82" s="98"/>
    </row>
    <row r="83">
      <c r="A83" s="116"/>
      <c r="B83" s="155">
        <v>60.0</v>
      </c>
      <c r="C83" s="155"/>
      <c r="D83" s="156">
        <f>countif('Elligible Training Institutes R'!$F$9:$F$19,C83)</f>
        <v>0</v>
      </c>
      <c r="E83" s="157">
        <f>COUNTIFS('Elligible Training Institutes R'!$F$9:$F$19,C83,'Elligible Training Institutes R'!$L$9:$L$19,"Yes")</f>
        <v>0</v>
      </c>
      <c r="F83" s="157">
        <f>COUNTIFS('Elligible Training Institutes R'!$F$9:$F$19,C83,'Elligible Training Institutes R'!$L$9:$L$19,"No")</f>
        <v>0</v>
      </c>
      <c r="G83" s="159" t="str">
        <f t="shared" si="2"/>
        <v>#DIV/0!</v>
      </c>
      <c r="H83" s="160">
        <v>92.0</v>
      </c>
      <c r="I83" s="160" t="s">
        <v>1316</v>
      </c>
      <c r="J83" s="161"/>
      <c r="K83" s="98"/>
      <c r="L83" s="98"/>
      <c r="M83" s="98"/>
      <c r="N83" s="98"/>
    </row>
    <row r="84">
      <c r="A84" s="116"/>
      <c r="B84" s="155">
        <v>61.0</v>
      </c>
      <c r="C84" s="155"/>
      <c r="D84" s="156">
        <f>countif('Elligible Training Institutes R'!$F$9:$F$19,C84)</f>
        <v>0</v>
      </c>
      <c r="E84" s="157">
        <f>COUNTIFS('Elligible Training Institutes R'!$F$9:$F$19,C84,'Elligible Training Institutes R'!$L$9:$L$19,"Yes")</f>
        <v>0</v>
      </c>
      <c r="F84" s="157">
        <f>COUNTIFS('Elligible Training Institutes R'!$F$9:$F$19,C84,'Elligible Training Institutes R'!$L$9:$L$19,"No")</f>
        <v>0</v>
      </c>
      <c r="G84" s="159" t="str">
        <f t="shared" si="2"/>
        <v>#DIV/0!</v>
      </c>
      <c r="H84" s="160">
        <v>89.0</v>
      </c>
      <c r="I84" s="160" t="s">
        <v>1316</v>
      </c>
      <c r="J84" s="161"/>
      <c r="K84" s="98"/>
      <c r="L84" s="98"/>
      <c r="M84" s="98"/>
      <c r="N84" s="98"/>
    </row>
    <row r="85">
      <c r="A85" s="116"/>
      <c r="B85" s="155">
        <v>62.0</v>
      </c>
      <c r="C85" s="155"/>
      <c r="D85" s="156">
        <f>countif('Elligible Training Institutes R'!$F$9:$F$19,C85)</f>
        <v>0</v>
      </c>
      <c r="E85" s="157">
        <f>COUNTIFS('Elligible Training Institutes R'!$F$9:$F$19,C85,'Elligible Training Institutes R'!$L$9:$L$19,"Yes")</f>
        <v>0</v>
      </c>
      <c r="F85" s="157">
        <f>COUNTIFS('Elligible Training Institutes R'!$F$9:$F$19,C85,'Elligible Training Institutes R'!$L$9:$L$19,"No")</f>
        <v>0</v>
      </c>
      <c r="G85" s="159" t="str">
        <f t="shared" si="2"/>
        <v>#DIV/0!</v>
      </c>
      <c r="H85" s="160">
        <v>389.0</v>
      </c>
      <c r="I85" s="160" t="s">
        <v>1316</v>
      </c>
      <c r="J85" s="161"/>
      <c r="K85" s="98"/>
      <c r="L85" s="98"/>
      <c r="M85" s="98"/>
      <c r="N85" s="98"/>
    </row>
    <row r="86">
      <c r="A86" s="116"/>
      <c r="B86" s="155">
        <v>63.0</v>
      </c>
      <c r="C86" s="155"/>
      <c r="D86" s="156">
        <f>countif('Elligible Training Institutes R'!$F$9:$F$19,C86)</f>
        <v>0</v>
      </c>
      <c r="E86" s="157">
        <f>COUNTIFS('Elligible Training Institutes R'!$F$9:$F$19,C86,'Elligible Training Institutes R'!$L$9:$L$19,"Yes")</f>
        <v>0</v>
      </c>
      <c r="F86" s="157">
        <f>COUNTIFS('Elligible Training Institutes R'!$F$9:$F$19,C86,'Elligible Training Institutes R'!$L$9:$L$19,"No")</f>
        <v>0</v>
      </c>
      <c r="G86" s="159" t="str">
        <f t="shared" si="2"/>
        <v>#DIV/0!</v>
      </c>
      <c r="H86" s="160">
        <v>387.0</v>
      </c>
      <c r="I86" s="160" t="s">
        <v>1316</v>
      </c>
      <c r="J86" s="161"/>
      <c r="K86" s="98"/>
      <c r="L86" s="98"/>
      <c r="M86" s="98"/>
      <c r="N86" s="98"/>
    </row>
    <row r="87">
      <c r="A87" s="116"/>
      <c r="B87" s="155">
        <v>64.0</v>
      </c>
      <c r="C87" s="155"/>
      <c r="D87" s="156">
        <f>countif('Elligible Training Institutes R'!$F$9:$F$19,C87)</f>
        <v>0</v>
      </c>
      <c r="E87" s="157">
        <f>COUNTIFS('Elligible Training Institutes R'!$F$9:$F$19,C87,'Elligible Training Institutes R'!$L$9:$L$19,"Yes")</f>
        <v>0</v>
      </c>
      <c r="F87" s="157">
        <f>COUNTIFS('Elligible Training Institutes R'!$F$9:$F$19,C87,'Elligible Training Institutes R'!$L$9:$L$19,"No")</f>
        <v>0</v>
      </c>
      <c r="G87" s="159" t="str">
        <f t="shared" si="2"/>
        <v>#DIV/0!</v>
      </c>
      <c r="H87" s="160">
        <v>352.0</v>
      </c>
      <c r="I87" s="160" t="s">
        <v>1316</v>
      </c>
      <c r="J87" s="161"/>
      <c r="K87" s="98"/>
      <c r="L87" s="98"/>
      <c r="M87" s="98"/>
      <c r="N87" s="98"/>
    </row>
    <row r="88">
      <c r="A88" s="116"/>
      <c r="B88" s="155">
        <v>65.0</v>
      </c>
      <c r="C88" s="155"/>
      <c r="D88" s="156">
        <f>countif('Elligible Training Institutes R'!$F$9:$F$19,C88)</f>
        <v>0</v>
      </c>
      <c r="E88" s="157">
        <f>COUNTIFS('Elligible Training Institutes R'!$F$9:$F$19,C88,'Elligible Training Institutes R'!$L$9:$L$19,"Yes")</f>
        <v>0</v>
      </c>
      <c r="F88" s="157">
        <f>COUNTIFS('Elligible Training Institutes R'!$F$9:$F$19,C88,'Elligible Training Institutes R'!$L$9:$L$19,"No")</f>
        <v>0</v>
      </c>
      <c r="G88" s="159" t="str">
        <f t="shared" si="2"/>
        <v>#DIV/0!</v>
      </c>
      <c r="H88" s="160">
        <v>199.0</v>
      </c>
      <c r="I88" s="160" t="s">
        <v>1316</v>
      </c>
      <c r="J88" s="161"/>
      <c r="K88" s="98"/>
      <c r="L88" s="98"/>
      <c r="M88" s="98"/>
      <c r="N88" s="98"/>
    </row>
    <row r="89">
      <c r="A89" s="116"/>
      <c r="B89" s="155">
        <v>66.0</v>
      </c>
      <c r="C89" s="155"/>
      <c r="D89" s="156">
        <f>countif('Elligible Training Institutes R'!$F$9:$F$19,C89)</f>
        <v>0</v>
      </c>
      <c r="E89" s="157">
        <f>COUNTIFS('Elligible Training Institutes R'!$F$9:$F$19,C89,'Elligible Training Institutes R'!$L$9:$L$19,"Yes")</f>
        <v>0</v>
      </c>
      <c r="F89" s="157">
        <f>COUNTIFS('Elligible Training Institutes R'!$F$9:$F$19,C89,'Elligible Training Institutes R'!$L$9:$L$19,"No")</f>
        <v>0</v>
      </c>
      <c r="G89" s="159" t="str">
        <f t="shared" si="2"/>
        <v>#DIV/0!</v>
      </c>
      <c r="H89" s="160">
        <v>446.0</v>
      </c>
      <c r="I89" s="160">
        <v>337.0</v>
      </c>
      <c r="J89" s="161"/>
      <c r="K89" s="98"/>
      <c r="L89" s="98"/>
      <c r="M89" s="98"/>
      <c r="N89" s="98"/>
    </row>
    <row r="90">
      <c r="A90" s="116"/>
      <c r="B90" s="155">
        <v>67.0</v>
      </c>
      <c r="C90" s="155"/>
      <c r="D90" s="156">
        <f>countif('Elligible Training Institutes R'!$F$9:$F$19,C90)</f>
        <v>0</v>
      </c>
      <c r="E90" s="157">
        <f>COUNTIFS('Elligible Training Institutes R'!$F$9:$F$19,C90,'Elligible Training Institutes R'!$L$9:$L$19,"Yes")</f>
        <v>0</v>
      </c>
      <c r="F90" s="157">
        <f>COUNTIFS('Elligible Training Institutes R'!$F$9:$F$19,C90,'Elligible Training Institutes R'!$L$9:$L$19,"No")</f>
        <v>0</v>
      </c>
      <c r="G90" s="159" t="str">
        <f t="shared" si="2"/>
        <v>#DIV/0!</v>
      </c>
      <c r="H90" s="160">
        <v>375.0</v>
      </c>
      <c r="I90" s="160" t="s">
        <v>1316</v>
      </c>
      <c r="J90" s="161"/>
      <c r="K90" s="98"/>
      <c r="L90" s="98"/>
      <c r="M90" s="98"/>
      <c r="N90" s="98"/>
    </row>
    <row r="91">
      <c r="A91" s="116"/>
      <c r="B91" s="155">
        <v>68.0</v>
      </c>
      <c r="C91" s="155"/>
      <c r="D91" s="156">
        <f>countif('Elligible Training Institutes R'!$F$9:$F$19,C91)</f>
        <v>0</v>
      </c>
      <c r="E91" s="157">
        <f>COUNTIFS('Elligible Training Institutes R'!$F$9:$F$19,C91,'Elligible Training Institutes R'!$L$9:$L$19,"Yes")</f>
        <v>0</v>
      </c>
      <c r="F91" s="157">
        <f>COUNTIFS('Elligible Training Institutes R'!$F$9:$F$19,C91,'Elligible Training Institutes R'!$L$9:$L$19,"No")</f>
        <v>0</v>
      </c>
      <c r="G91" s="159" t="str">
        <f t="shared" si="2"/>
        <v>#DIV/0!</v>
      </c>
      <c r="H91" s="160">
        <v>896.0</v>
      </c>
      <c r="I91" s="160">
        <v>6.0</v>
      </c>
      <c r="J91" s="161"/>
      <c r="K91" s="98"/>
      <c r="L91" s="98"/>
      <c r="M91" s="98"/>
      <c r="N91" s="98"/>
    </row>
    <row r="92">
      <c r="A92" s="116"/>
      <c r="B92" s="155">
        <v>69.0</v>
      </c>
      <c r="C92" s="155"/>
      <c r="D92" s="155">
        <v>3.0</v>
      </c>
      <c r="E92" s="162">
        <v>3.0</v>
      </c>
      <c r="F92" s="157">
        <f>COUNTIFS('Elligible Training Institutes R'!$F$9:$F$19,C92,'Elligible Training Institutes R'!$L$9:$L$19,"No")</f>
        <v>0</v>
      </c>
      <c r="G92" s="159">
        <f t="shared" si="2"/>
        <v>100</v>
      </c>
      <c r="H92" s="160">
        <v>320.0</v>
      </c>
      <c r="I92" s="160" t="s">
        <v>1316</v>
      </c>
      <c r="J92" s="161"/>
      <c r="K92" s="98"/>
      <c r="L92" s="98"/>
      <c r="M92" s="98"/>
      <c r="N92" s="98"/>
    </row>
    <row r="93">
      <c r="A93" s="116"/>
      <c r="B93" s="163">
        <v>70.0</v>
      </c>
      <c r="C93" s="163"/>
      <c r="D93" s="164">
        <f>countif('Elligible Training Institutes R'!$F$9:$F$19,C93)</f>
        <v>0</v>
      </c>
      <c r="E93" s="165">
        <f>COUNTIFS('Elligible Training Institutes R'!$F$9:$F$19,C93,'Elligible Training Institutes R'!$L$9:$L$19,"Yes")</f>
        <v>0</v>
      </c>
      <c r="F93" s="165">
        <f>COUNTIFS('Elligible Training Institutes R'!$F$9:$F$19,C93,'Elligible Training Institutes R'!$L$9:$L$19,"No")</f>
        <v>0</v>
      </c>
      <c r="G93" s="166" t="str">
        <f t="shared" si="2"/>
        <v>#DIV/0!</v>
      </c>
      <c r="H93" s="160">
        <v>3325.0</v>
      </c>
      <c r="I93" s="160">
        <v>396.0</v>
      </c>
      <c r="J93" s="161"/>
      <c r="K93" s="98"/>
      <c r="L93" s="98"/>
      <c r="M93" s="98"/>
      <c r="N93" s="98"/>
    </row>
    <row r="94">
      <c r="A94" s="116"/>
      <c r="B94" s="167"/>
      <c r="C94" s="168" t="s">
        <v>1317</v>
      </c>
      <c r="D94" s="167">
        <f>SUM(D24:D93)</f>
        <v>3</v>
      </c>
      <c r="E94" s="169">
        <f t="shared" ref="E94:F94" si="3">SUM(E23:E92)</f>
        <v>3</v>
      </c>
      <c r="F94" s="169">
        <f t="shared" si="3"/>
        <v>0</v>
      </c>
      <c r="G94" s="170">
        <f t="shared" si="2"/>
        <v>100</v>
      </c>
      <c r="H94" s="171">
        <v>69959.0</v>
      </c>
      <c r="I94" s="171">
        <v>4516.0</v>
      </c>
      <c r="J94" s="146"/>
      <c r="K94" s="98"/>
      <c r="L94" s="98"/>
      <c r="M94" s="98"/>
      <c r="N94" s="98"/>
    </row>
    <row r="95">
      <c r="A95" s="149"/>
      <c r="B95" s="121"/>
      <c r="C95" s="125"/>
      <c r="D95" s="121">
        <f>countif(D24:D93, "&lt;5")</f>
        <v>70</v>
      </c>
      <c r="E95" s="122"/>
      <c r="F95" s="122"/>
      <c r="G95" s="124"/>
      <c r="H95" s="122"/>
      <c r="I95" s="123"/>
      <c r="J95" s="98"/>
      <c r="K95" s="98"/>
      <c r="L95" s="98"/>
      <c r="M95" s="98"/>
      <c r="N95" s="98"/>
    </row>
    <row r="96">
      <c r="A96" s="149"/>
      <c r="B96" s="172"/>
      <c r="C96" s="173"/>
      <c r="D96" s="172"/>
      <c r="E96" s="99"/>
      <c r="F96" s="99"/>
      <c r="G96" s="100"/>
      <c r="H96" s="99"/>
      <c r="I96" s="98"/>
      <c r="J96" s="98"/>
      <c r="K96" s="98"/>
      <c r="L96" s="98"/>
      <c r="M96" s="98"/>
      <c r="N96" s="98"/>
    </row>
    <row r="97">
      <c r="A97" s="149"/>
      <c r="B97" s="172"/>
      <c r="C97" s="173"/>
      <c r="D97" s="172"/>
      <c r="E97" s="99"/>
      <c r="F97" s="99"/>
      <c r="G97" s="100"/>
      <c r="H97" s="99"/>
      <c r="I97" s="98"/>
      <c r="J97" s="98"/>
      <c r="K97" s="98"/>
      <c r="L97" s="98"/>
      <c r="M97" s="98"/>
      <c r="N97" s="98"/>
    </row>
    <row r="98">
      <c r="A98" s="149"/>
      <c r="B98" s="172"/>
      <c r="C98" s="173"/>
      <c r="D98" s="172"/>
      <c r="E98" s="99"/>
      <c r="F98" s="99"/>
      <c r="G98" s="100"/>
      <c r="H98" s="99"/>
      <c r="I98" s="98"/>
      <c r="J98" s="98"/>
      <c r="K98" s="98"/>
      <c r="L98" s="98"/>
      <c r="M98" s="98"/>
      <c r="N98" s="98"/>
    </row>
  </sheetData>
  <mergeCells count="11">
    <mergeCell ref="B12:D12"/>
    <mergeCell ref="B16:D16"/>
    <mergeCell ref="E16:G16"/>
    <mergeCell ref="H16:J16"/>
    <mergeCell ref="E3:G3"/>
    <mergeCell ref="K3:M3"/>
    <mergeCell ref="C5:E5"/>
    <mergeCell ref="F5:H5"/>
    <mergeCell ref="I7:K7"/>
    <mergeCell ref="E12:G12"/>
    <mergeCell ref="H12:J12"/>
  </mergeCells>
  <conditionalFormatting sqref="F24:F93">
    <cfRule type="cellIs" dxfId="0" priority="1" operator="between">
      <formula>1</formula>
      <formula>5</formula>
    </cfRule>
  </conditionalFormatting>
  <conditionalFormatting sqref="F24:F93">
    <cfRule type="cellIs" dxfId="1" priority="2" operator="between">
      <formula>6</formula>
      <formula>15</formula>
    </cfRule>
  </conditionalFormatting>
  <conditionalFormatting sqref="F24:F93">
    <cfRule type="notContainsBlanks" dxfId="2" priority="3">
      <formula>LEN(TRIM(F24))&gt;0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min="1" max="1" width="17.75"/>
    <col customWidth="1" min="2" max="2" width="19.88"/>
    <col customWidth="1" min="3" max="3" width="6.13"/>
    <col customWidth="1" min="4" max="4" width="17.75"/>
    <col customWidth="1" min="5" max="5" width="61.38"/>
    <col customWidth="1" min="6" max="6" width="10.88"/>
    <col customWidth="1" min="7" max="7" width="13.13"/>
    <col customWidth="1" min="8" max="8" width="11.38"/>
    <col customWidth="1" min="9" max="9" width="27.13"/>
    <col customWidth="1" min="10" max="10" width="22.5"/>
    <col customWidth="1" min="11" max="11" width="9.13"/>
    <col customWidth="1" min="12" max="12" width="12.5"/>
    <col customWidth="1" min="13" max="13" width="17.38"/>
    <col customWidth="1" min="14" max="14" width="26.0"/>
    <col customWidth="1" hidden="1" min="15" max="15" width="26.0"/>
    <col customWidth="1" min="16" max="16" width="18.25"/>
    <col customWidth="1" min="17" max="17" width="17.13"/>
    <col customWidth="1" min="18" max="18" width="21.5"/>
    <col customWidth="1" min="19" max="19" width="20.88"/>
    <col customWidth="1" min="20" max="20" width="22.25"/>
  </cols>
  <sheetData>
    <row r="1">
      <c r="A1" s="224"/>
      <c r="B1" s="224"/>
      <c r="C1" s="225">
        <v>1.0</v>
      </c>
      <c r="D1" s="226" t="s">
        <v>1321</v>
      </c>
      <c r="E1" s="227" t="s">
        <v>1322</v>
      </c>
      <c r="F1" s="227"/>
      <c r="G1" s="227"/>
      <c r="H1" s="1"/>
      <c r="I1" s="1"/>
      <c r="J1" s="1"/>
      <c r="K1" s="228"/>
      <c r="L1" s="16"/>
      <c r="M1" s="229"/>
      <c r="N1" s="229"/>
      <c r="O1" s="229"/>
      <c r="P1" s="229"/>
      <c r="Q1" s="229">
        <v>529.0</v>
      </c>
      <c r="R1" s="229"/>
      <c r="S1" s="230"/>
      <c r="T1" s="230"/>
    </row>
    <row r="2">
      <c r="A2" s="6" t="s">
        <v>0</v>
      </c>
      <c r="B2" s="231"/>
      <c r="C2" s="231"/>
      <c r="D2" s="231"/>
      <c r="E2" s="232"/>
      <c r="F2" s="233"/>
      <c r="G2" s="233"/>
      <c r="H2" s="1"/>
      <c r="I2" s="1"/>
      <c r="J2" s="1"/>
      <c r="K2" s="228"/>
      <c r="L2" s="234"/>
      <c r="M2" s="229"/>
      <c r="N2" s="229"/>
      <c r="O2" s="229"/>
      <c r="P2" s="229"/>
      <c r="Q2" s="229"/>
      <c r="R2" s="229"/>
      <c r="S2" s="230"/>
      <c r="T2" s="230"/>
    </row>
    <row r="3">
      <c r="A3" s="235"/>
      <c r="B3" s="236"/>
      <c r="C3" s="236">
        <v>1.0</v>
      </c>
      <c r="D3" s="236"/>
      <c r="E3" s="237">
        <f>countif(L9:L19,"Yes")</f>
        <v>11</v>
      </c>
      <c r="F3" s="238"/>
      <c r="G3" s="238"/>
      <c r="H3" s="9"/>
      <c r="I3" s="9"/>
      <c r="J3" s="9"/>
      <c r="K3" s="228"/>
      <c r="L3" s="234"/>
      <c r="M3" s="229"/>
      <c r="N3" s="229"/>
      <c r="O3" s="229"/>
      <c r="P3" s="229"/>
      <c r="Q3" s="229"/>
      <c r="R3" s="229"/>
      <c r="S3" s="230"/>
      <c r="T3" s="230"/>
    </row>
    <row r="4">
      <c r="A4" s="239"/>
      <c r="B4" s="240"/>
      <c r="C4" s="240"/>
      <c r="D4" s="240"/>
      <c r="E4" s="241"/>
      <c r="F4" s="242"/>
      <c r="G4" s="242"/>
      <c r="H4" s="9"/>
      <c r="I4" s="9"/>
      <c r="J4" s="9"/>
      <c r="K4" s="228"/>
      <c r="L4" s="234"/>
      <c r="M4" s="229" t="s">
        <v>1</v>
      </c>
      <c r="N4" s="229"/>
      <c r="O4" s="229"/>
      <c r="P4" s="229"/>
      <c r="Q4" s="229"/>
      <c r="R4" s="229"/>
      <c r="S4" s="230"/>
      <c r="T4" s="230"/>
    </row>
    <row r="5">
      <c r="A5" s="12" t="s">
        <v>2</v>
      </c>
      <c r="B5" s="12" t="s">
        <v>3</v>
      </c>
      <c r="C5" s="12"/>
      <c r="D5" s="12"/>
      <c r="E5" s="243" t="s">
        <v>1323</v>
      </c>
      <c r="F5" s="243"/>
      <c r="G5" s="243"/>
      <c r="H5" s="12" t="s">
        <v>5</v>
      </c>
      <c r="I5" s="12" t="s">
        <v>5</v>
      </c>
      <c r="J5" s="12"/>
      <c r="K5" s="244"/>
      <c r="L5" s="234"/>
      <c r="M5" s="229"/>
      <c r="N5" s="245"/>
      <c r="O5" s="246"/>
      <c r="P5" s="229"/>
      <c r="Q5" s="229"/>
      <c r="R5" s="229"/>
      <c r="S5" s="230"/>
      <c r="T5" s="230"/>
    </row>
    <row r="6">
      <c r="A6" s="17">
        <v>802.0</v>
      </c>
      <c r="B6" s="18">
        <v>592.0</v>
      </c>
      <c r="C6" s="18"/>
      <c r="D6" s="18"/>
      <c r="E6" s="247">
        <v>593.0</v>
      </c>
      <c r="F6" s="247"/>
      <c r="G6" s="247"/>
      <c r="H6" s="248">
        <f t="shared" ref="H6:I6" si="1">countif($L$9:$L$19,"Yes")</f>
        <v>11</v>
      </c>
      <c r="I6" s="248">
        <f t="shared" si="1"/>
        <v>11</v>
      </c>
      <c r="J6" s="18"/>
      <c r="K6" s="244"/>
      <c r="L6" s="234"/>
      <c r="M6" s="229"/>
      <c r="N6" s="229"/>
      <c r="O6" s="229"/>
      <c r="P6" s="229"/>
      <c r="Q6" s="229"/>
      <c r="R6" s="229"/>
      <c r="S6" s="230"/>
      <c r="T6" s="230"/>
    </row>
    <row r="7">
      <c r="A7" s="20"/>
      <c r="B7" s="249"/>
      <c r="C7" s="250"/>
      <c r="D7" s="250"/>
      <c r="E7" s="251"/>
      <c r="F7" s="252"/>
      <c r="G7" s="252"/>
      <c r="H7" s="250"/>
      <c r="I7" s="250"/>
      <c r="J7" s="250"/>
      <c r="K7" s="253"/>
      <c r="L7" s="248"/>
      <c r="M7" s="254"/>
      <c r="N7" s="254"/>
      <c r="O7" s="254"/>
      <c r="P7" s="254"/>
      <c r="Q7" s="254"/>
      <c r="R7" s="254"/>
      <c r="S7" s="230"/>
      <c r="T7" s="230"/>
    </row>
    <row r="8">
      <c r="A8" s="26" t="s">
        <v>6</v>
      </c>
      <c r="B8" s="27" t="s">
        <v>6</v>
      </c>
      <c r="C8" s="255" t="s">
        <v>1324</v>
      </c>
      <c r="D8" s="255" t="s">
        <v>6</v>
      </c>
      <c r="E8" s="256" t="s">
        <v>1325</v>
      </c>
      <c r="F8" s="256" t="s">
        <v>1326</v>
      </c>
      <c r="G8" s="256" t="s">
        <v>1327</v>
      </c>
      <c r="H8" s="255" t="s">
        <v>7</v>
      </c>
      <c r="I8" s="255" t="s">
        <v>8</v>
      </c>
      <c r="J8" s="255" t="s">
        <v>8</v>
      </c>
      <c r="K8" s="257" t="s">
        <v>11</v>
      </c>
      <c r="L8" s="255" t="s">
        <v>12</v>
      </c>
      <c r="M8" s="243" t="s">
        <v>13</v>
      </c>
      <c r="N8" s="243" t="s">
        <v>14</v>
      </c>
      <c r="O8" s="243" t="s">
        <v>15</v>
      </c>
      <c r="P8" s="243" t="s">
        <v>16</v>
      </c>
      <c r="Q8" s="243" t="s">
        <v>17</v>
      </c>
      <c r="R8" s="243" t="s">
        <v>18</v>
      </c>
      <c r="S8" s="243" t="s">
        <v>1328</v>
      </c>
      <c r="T8" s="243" t="s">
        <v>1329</v>
      </c>
    </row>
    <row r="9">
      <c r="A9" s="258"/>
      <c r="B9" s="259"/>
      <c r="C9" s="260">
        <v>1.0</v>
      </c>
      <c r="D9" s="261"/>
      <c r="E9" s="262"/>
      <c r="F9" s="263"/>
      <c r="G9" s="263"/>
      <c r="H9" s="260" t="s">
        <v>20</v>
      </c>
      <c r="I9" s="260"/>
      <c r="J9" s="260"/>
      <c r="K9" s="264"/>
      <c r="L9" s="265" t="s">
        <v>20</v>
      </c>
      <c r="M9" s="266"/>
      <c r="N9" s="266"/>
      <c r="O9" s="266"/>
      <c r="P9" s="266"/>
      <c r="Q9" s="266"/>
      <c r="R9" s="267" t="s">
        <v>1330</v>
      </c>
      <c r="S9" s="268">
        <f>iferror(VLOOKUP(B9, 'Students Number in Institutes'!$C$3:$E$26, 3, FALSE),0)</f>
        <v>0</v>
      </c>
      <c r="T9" s="268" t="str">
        <f>vlookup(B9,'Geotagging Master All-Training '!$A$2:$F$2474,6,false)</f>
        <v>#N/A</v>
      </c>
    </row>
    <row r="10">
      <c r="A10" s="258"/>
      <c r="B10" s="259"/>
      <c r="C10" s="260">
        <v>2.0</v>
      </c>
      <c r="D10" s="260"/>
      <c r="E10" s="262"/>
      <c r="F10" s="263"/>
      <c r="G10" s="263"/>
      <c r="H10" s="260" t="s">
        <v>20</v>
      </c>
      <c r="I10" s="260"/>
      <c r="J10" s="260"/>
      <c r="K10" s="264"/>
      <c r="L10" s="265" t="s">
        <v>20</v>
      </c>
      <c r="M10" s="266"/>
      <c r="N10" s="269"/>
      <c r="O10" s="266"/>
      <c r="P10" s="266"/>
      <c r="Q10" s="269"/>
      <c r="R10" s="267" t="s">
        <v>1330</v>
      </c>
      <c r="S10" s="268">
        <f>iferror(VLOOKUP(B10, 'Students Number in Institutes'!$C$3:$E$26, 3, FALSE),0)</f>
        <v>0</v>
      </c>
      <c r="T10" s="268" t="str">
        <f>vlookup(B10,'Geotagging Master All-Training '!$A$2:$F$2474,6,false)</f>
        <v>#N/A</v>
      </c>
    </row>
    <row r="11">
      <c r="A11" s="258"/>
      <c r="B11" s="259"/>
      <c r="C11" s="260">
        <v>3.0</v>
      </c>
      <c r="D11" s="260"/>
      <c r="E11" s="270"/>
      <c r="F11" s="263"/>
      <c r="G11" s="263"/>
      <c r="H11" s="260" t="s">
        <v>20</v>
      </c>
      <c r="I11" s="260"/>
      <c r="J11" s="260"/>
      <c r="K11" s="264"/>
      <c r="L11" s="265" t="s">
        <v>20</v>
      </c>
      <c r="M11" s="266"/>
      <c r="N11" s="266"/>
      <c r="O11" s="266"/>
      <c r="P11" s="266"/>
      <c r="Q11" s="266"/>
      <c r="R11" s="267" t="s">
        <v>1330</v>
      </c>
      <c r="S11" s="268">
        <f>iferror(VLOOKUP(B11, 'Students Number in Institutes'!$C$3:$E$26, 3, FALSE),0)</f>
        <v>0</v>
      </c>
      <c r="T11" s="268" t="str">
        <f>vlookup(B11,'Geotagging Master All-Training '!$A$2:$F$2474,6,false)</f>
        <v>#N/A</v>
      </c>
    </row>
    <row r="12">
      <c r="A12" s="258"/>
      <c r="B12" s="259"/>
      <c r="C12" s="260">
        <v>4.0</v>
      </c>
      <c r="D12" s="260"/>
      <c r="E12" s="270"/>
      <c r="F12" s="263"/>
      <c r="G12" s="263"/>
      <c r="H12" s="260" t="s">
        <v>20</v>
      </c>
      <c r="I12" s="260"/>
      <c r="J12" s="260"/>
      <c r="K12" s="264"/>
      <c r="L12" s="265" t="s">
        <v>20</v>
      </c>
      <c r="M12" s="266"/>
      <c r="N12" s="266"/>
      <c r="O12" s="266"/>
      <c r="P12" s="266"/>
      <c r="Q12" s="266"/>
      <c r="R12" s="267" t="s">
        <v>1330</v>
      </c>
      <c r="S12" s="268">
        <f>iferror(VLOOKUP(B12, 'Students Number in Institutes'!$C$3:$E$26, 3, FALSE),0)</f>
        <v>0</v>
      </c>
      <c r="T12" s="268" t="str">
        <f>vlookup(B12,'Geotagging Master All-Training '!$A$2:$F$2474,6,false)</f>
        <v>#N/A</v>
      </c>
    </row>
    <row r="13">
      <c r="A13" s="258"/>
      <c r="B13" s="259"/>
      <c r="C13" s="260">
        <v>5.0</v>
      </c>
      <c r="D13" s="260"/>
      <c r="E13" s="270"/>
      <c r="F13" s="263"/>
      <c r="G13" s="263"/>
      <c r="H13" s="260" t="s">
        <v>20</v>
      </c>
      <c r="I13" s="260"/>
      <c r="J13" s="260"/>
      <c r="K13" s="271"/>
      <c r="L13" s="265" t="s">
        <v>20</v>
      </c>
      <c r="M13" s="266"/>
      <c r="N13" s="266"/>
      <c r="O13" s="266"/>
      <c r="P13" s="266"/>
      <c r="Q13" s="266"/>
      <c r="R13" s="267" t="s">
        <v>1330</v>
      </c>
      <c r="S13" s="268">
        <f>iferror(VLOOKUP(B13, 'Students Number in Institutes'!$C$3:$E$26, 3, FALSE),0)</f>
        <v>0</v>
      </c>
      <c r="T13" s="268" t="str">
        <f>vlookup(B13,'Geotagging Master All-Training '!$A$2:$F$2474,6,false)</f>
        <v>#N/A</v>
      </c>
    </row>
    <row r="14">
      <c r="A14" s="258"/>
      <c r="B14" s="259"/>
      <c r="C14" s="260">
        <v>6.0</v>
      </c>
      <c r="D14" s="260"/>
      <c r="E14" s="270"/>
      <c r="F14" s="263"/>
      <c r="G14" s="263"/>
      <c r="H14" s="260" t="s">
        <v>20</v>
      </c>
      <c r="I14" s="260"/>
      <c r="J14" s="260"/>
      <c r="K14" s="264"/>
      <c r="L14" s="265" t="s">
        <v>20</v>
      </c>
      <c r="M14" s="266"/>
      <c r="N14" s="266"/>
      <c r="O14" s="266"/>
      <c r="P14" s="266"/>
      <c r="Q14" s="266"/>
      <c r="R14" s="267" t="s">
        <v>1330</v>
      </c>
      <c r="S14" s="268">
        <f>iferror(VLOOKUP(B14, 'Students Number in Institutes'!$C$3:$E$26, 3, FALSE),0)</f>
        <v>0</v>
      </c>
      <c r="T14" s="268" t="str">
        <f>vlookup(B14,'Geotagging Master All-Training '!$A$2:$F$2474,6,false)</f>
        <v>#N/A</v>
      </c>
    </row>
    <row r="15">
      <c r="A15" s="272"/>
      <c r="B15" s="272"/>
      <c r="C15" s="260">
        <v>7.0</v>
      </c>
      <c r="D15" s="273"/>
      <c r="E15" s="274"/>
      <c r="F15" s="263"/>
      <c r="G15" s="263"/>
      <c r="H15" s="273" t="s">
        <v>20</v>
      </c>
      <c r="I15" s="273"/>
      <c r="J15" s="273"/>
      <c r="K15" s="275"/>
      <c r="L15" s="276" t="s">
        <v>20</v>
      </c>
      <c r="M15" s="277"/>
      <c r="N15" s="277"/>
      <c r="O15" s="277"/>
      <c r="P15" s="277"/>
      <c r="Q15" s="277"/>
      <c r="R15" s="278" t="s">
        <v>1330</v>
      </c>
      <c r="S15" s="268">
        <f>iferror(VLOOKUP(B15, 'Students Number in Institutes'!$C$3:$E$26, 3, FALSE),0)</f>
        <v>0</v>
      </c>
      <c r="T15" s="268" t="str">
        <f>vlookup(B15,'Geotagging Master All-Training '!$A$2:$F$2474,6,false)</f>
        <v>#N/A</v>
      </c>
    </row>
    <row r="16">
      <c r="A16" s="258"/>
      <c r="B16" s="259"/>
      <c r="C16" s="260">
        <v>8.0</v>
      </c>
      <c r="D16" s="260"/>
      <c r="E16" s="262"/>
      <c r="F16" s="263"/>
      <c r="G16" s="263"/>
      <c r="H16" s="260" t="s">
        <v>20</v>
      </c>
      <c r="I16" s="260"/>
      <c r="J16" s="260"/>
      <c r="K16" s="264"/>
      <c r="L16" s="265" t="s">
        <v>20</v>
      </c>
      <c r="M16" s="266"/>
      <c r="N16" s="266"/>
      <c r="O16" s="266"/>
      <c r="P16" s="266"/>
      <c r="Q16" s="266"/>
      <c r="R16" s="278" t="s">
        <v>1330</v>
      </c>
      <c r="S16" s="268">
        <f>iferror(VLOOKUP(B16, 'Students Number in Institutes'!$C$3:$E$26, 3, FALSE),0)</f>
        <v>0</v>
      </c>
      <c r="T16" s="268" t="str">
        <f>vlookup(B16,'Geotagging Master All-Training '!$A$2:$F$2474,6,false)</f>
        <v>#N/A</v>
      </c>
    </row>
    <row r="17">
      <c r="A17" s="258"/>
      <c r="B17" s="259"/>
      <c r="C17" s="260">
        <v>9.0</v>
      </c>
      <c r="D17" s="260"/>
      <c r="E17" s="262"/>
      <c r="F17" s="263"/>
      <c r="G17" s="263"/>
      <c r="H17" s="260" t="s">
        <v>20</v>
      </c>
      <c r="I17" s="260"/>
      <c r="J17" s="260"/>
      <c r="K17" s="264"/>
      <c r="L17" s="265" t="s">
        <v>20</v>
      </c>
      <c r="M17" s="266"/>
      <c r="N17" s="266"/>
      <c r="O17" s="266"/>
      <c r="P17" s="266"/>
      <c r="Q17" s="266"/>
      <c r="R17" s="278" t="s">
        <v>1330</v>
      </c>
      <c r="S17" s="268">
        <f>iferror(VLOOKUP(B17, 'Students Number in Institutes'!$C$3:$E$26, 3, FALSE),0)</f>
        <v>0</v>
      </c>
      <c r="T17" s="268" t="str">
        <f>vlookup(B17,'Geotagging Master All-Training '!$A$2:$F$2474,6,false)</f>
        <v>#N/A</v>
      </c>
    </row>
    <row r="18">
      <c r="A18" s="258"/>
      <c r="B18" s="258"/>
      <c r="C18" s="260">
        <v>10.0</v>
      </c>
      <c r="D18" s="260"/>
      <c r="E18" s="262"/>
      <c r="F18" s="263"/>
      <c r="G18" s="263"/>
      <c r="H18" s="260" t="s">
        <v>20</v>
      </c>
      <c r="I18" s="260"/>
      <c r="J18" s="260"/>
      <c r="K18" s="264"/>
      <c r="L18" s="265" t="s">
        <v>20</v>
      </c>
      <c r="M18" s="266"/>
      <c r="N18" s="279"/>
      <c r="O18" s="266"/>
      <c r="P18" s="266"/>
      <c r="Q18" s="266"/>
      <c r="R18" s="278" t="s">
        <v>1330</v>
      </c>
      <c r="S18" s="268">
        <f>iferror(VLOOKUP(B18, 'Students Number in Institutes'!$C$3:$E$26, 3, FALSE),0)</f>
        <v>0</v>
      </c>
      <c r="T18" s="268" t="str">
        <f>vlookup(B18,'Geotagging Master All-Training '!$A$2:$F$2474,6,false)</f>
        <v>#N/A</v>
      </c>
    </row>
    <row r="19">
      <c r="A19" s="258"/>
      <c r="B19" s="258"/>
      <c r="C19" s="260">
        <v>11.0</v>
      </c>
      <c r="D19" s="260"/>
      <c r="E19" s="262"/>
      <c r="F19" s="263"/>
      <c r="G19" s="263"/>
      <c r="H19" s="260" t="s">
        <v>20</v>
      </c>
      <c r="I19" s="260"/>
      <c r="J19" s="260"/>
      <c r="K19" s="264"/>
      <c r="L19" s="265" t="s">
        <v>20</v>
      </c>
      <c r="M19" s="266"/>
      <c r="N19" s="266"/>
      <c r="O19" s="266"/>
      <c r="P19" s="266"/>
      <c r="Q19" s="266"/>
      <c r="R19" s="278" t="s">
        <v>1330</v>
      </c>
      <c r="S19" s="268">
        <f>iferror(VLOOKUP(B19, 'Students Number in Institutes'!$C$3:$E$26, 3, FALSE),0)</f>
        <v>0</v>
      </c>
      <c r="T19" s="268" t="str">
        <f>vlookup(B19,'Geotagging Master All-Training '!$A$2:$F$2474,6,false)</f>
        <v>#N/A</v>
      </c>
    </row>
  </sheetData>
  <customSheetViews>
    <customSheetView guid="{26145B14-D411-4703-A550-BC4D66DDB855}" filter="1" showAutoFilter="1">
      <autoFilter ref="$A$8:$R$19"/>
    </customSheetView>
    <customSheetView guid="{B8F91280-5839-4824-9837-B33C2803B9C9}" filter="1" showAutoFilter="1">
      <autoFilter ref="$A$8:$R$19">
        <filterColumn colId="17">
          <filters/>
        </filterColumn>
      </autoFilter>
    </customSheetView>
    <customSheetView guid="{1C94B833-20B3-4B74-ACE6-0864EB8F8213}" filter="1" showAutoFilter="1">
      <autoFilter ref="$A$8:$R$19"/>
    </customSheetView>
    <customSheetView guid="{B995BA34-E10D-40AF-AA8C-B5692B2826B5}" filter="1" showAutoFilter="1">
      <autoFilter ref="$A$8:$L$19">
        <filterColumn colId="11">
          <filters>
            <filter val="Yes"/>
          </filters>
        </filterColumn>
      </autoFilter>
    </customSheetView>
    <customSheetView guid="{949CA828-ADAD-4E9F-B44A-C4CC9CB43678}" filter="1" showAutoFilter="1">
      <autoFilter ref="$Q$5"/>
    </customSheetView>
    <customSheetView guid="{8C74C9FC-D395-430E-9425-07E8EBD06DD9}" filter="1" showAutoFilter="1">
      <autoFilter ref="$A$8:$R$19">
        <filterColumn colId="17">
          <filters/>
        </filterColumn>
      </autoFilter>
    </customSheetView>
    <customSheetView guid="{E011813A-1907-4E19-A9F9-B58EB77877E4}" filter="1" showAutoFilter="1">
      <autoFilter ref="$A$8:$R$19">
        <filterColumn colId="12">
          <filters/>
        </filterColumn>
      </autoFilter>
    </customSheetView>
    <customSheetView guid="{29638FDE-F393-4482-95FA-94A7C29B2F6D}" filter="1" showAutoFilter="1">
      <autoFilter ref="$A$8:$R$19">
        <filterColumn colId="11">
          <filters/>
        </filterColumn>
      </autoFilter>
    </customSheetView>
    <customSheetView guid="{89D674A9-5E02-46F3-8EAE-C90AAEBD18CB}" filter="1" showAutoFilter="1">
      <autoFilter ref="$A$8:$R$19">
        <filterColumn colId="17">
          <filters>
            <filter val="VERIFIED"/>
          </filters>
        </filterColumn>
        <filterColumn colId="11">
          <filters/>
        </filterColumn>
      </autoFilter>
    </customSheetView>
    <customSheetView guid="{BE7EE906-3AC6-489B-8307-8DCF78AC4CC4}" filter="1" showAutoFilter="1">
      <autoFilter ref="$A$8:$R$19">
        <filterColumn colId="17">
          <filters/>
        </filterColumn>
        <filterColumn colId="11">
          <filters/>
        </filterColumn>
      </autoFilter>
    </customSheetView>
    <customSheetView guid="{28CBDBE6-D2F0-42B2-8EAC-A47764FF5CBC}" filter="1" showAutoFilter="1">
      <autoFilter ref="$A$8:$S$19">
        <filterColumn colId="11">
          <filters/>
        </filterColumn>
        <filterColumn colId="6">
          <filters blank="1"/>
        </filterColumn>
      </autoFilter>
    </customSheetView>
    <customSheetView guid="{19BDEF7B-6167-46F4-96D1-80D9261FEA6F}" filter="1" showAutoFilter="1">
      <autoFilter ref="$A$8:$S$19">
        <filterColumn colId="11">
          <filters/>
        </filterColumn>
      </autoFilter>
    </customSheetView>
    <customSheetView guid="{0FE39A5F-C5C4-4C74-B50C-08D37C704852}" filter="1" showAutoFilter="1">
      <autoFilter ref="$A$8:$S$19">
        <filterColumn colId="12">
          <filters blank="1"/>
        </filterColumn>
      </autoFilter>
    </customSheetView>
    <customSheetView guid="{B340BCCB-2239-4F53-A7F5-8859E4CC659F}" filter="1" showAutoFilter="1">
      <autoFilter ref="$A$8:$R$19">
        <filterColumn colId="17">
          <filters/>
        </filterColumn>
      </autoFilter>
    </customSheetView>
    <customSheetView guid="{8D321D32-C538-4F99-A133-732AA9E194E7}" filter="1" showAutoFilter="1">
      <autoFilter ref="$A$8:$R$19">
        <filterColumn colId="17">
          <filters/>
        </filterColumn>
      </autoFilter>
    </customSheetView>
    <customSheetView guid="{3244BD90-1F1B-49B1-9805-E2AEEAC5DF7E}" filter="1" showAutoFilter="1">
      <autoFilter ref="$A$8:$R$19">
        <filterColumn colId="17">
          <filters/>
        </filterColumn>
      </autoFilter>
    </customSheetView>
    <customSheetView guid="{D0F387BE-95CD-4215-B4D7-7CB6B328D750}" filter="1" showAutoFilter="1">
      <autoFilter ref="$A$8:$R$19">
        <filterColumn colId="17">
          <filters/>
        </filterColumn>
      </autoFilter>
    </customSheetView>
    <customSheetView guid="{F79953EE-21CA-4328-B7CE-2E5232C4758F}" filter="1" showAutoFilter="1">
      <autoFilter ref="$A$8:$R$19"/>
    </customSheetView>
    <customSheetView guid="{05E57482-DB48-400E-8515-A1E7600ACD40}" filter="1" showAutoFilter="1">
      <autoFilter ref="$Q$1"/>
    </customSheetView>
    <customSheetView guid="{F8C118C5-118F-4E9B-9306-7A818040F34B}" filter="1" showAutoFilter="1">
      <autoFilter ref="$O$3"/>
    </customSheetView>
    <customSheetView guid="{88D6F7E3-A77D-4A4A-B3FA-3E0E2F352DBE}" filter="1" showAutoFilter="1">
      <autoFilter ref="$Q$1:$Q$3"/>
    </customSheetView>
    <customSheetView guid="{910CCA99-ECFE-4553-A281-5C978C3187C0}" filter="1" showAutoFilter="1">
      <autoFilter ref="$P$1:$Q$1"/>
    </customSheetView>
    <customSheetView guid="{4B942B8B-C855-402E-B1CA-C99DA2CDE73C}" filter="1" showAutoFilter="1">
      <autoFilter ref="$A$8:$R$19">
        <filterColumn colId="17">
          <filters/>
        </filterColumn>
      </autoFilter>
    </customSheetView>
    <customSheetView guid="{F6486A42-65B9-45A0-BAFA-8CD661D4DF5E}" filter="1" showAutoFilter="1">
      <autoFilter ref="$A$8:$T$19">
        <filterColumn colId="5">
          <filters blank="1"/>
        </filterColumn>
      </autoFilter>
    </customSheetView>
    <customSheetView guid="{55429418-C5E5-48EC-BE8C-D5FCDB9B5FF0}" filter="1" showAutoFilter="1">
      <autoFilter ref="$A$8:$R$19">
        <filterColumn colId="7">
          <filters/>
        </filterColumn>
      </autoFilter>
    </customSheetView>
    <customSheetView guid="{03BA606A-9EF1-488F-B5B6-5F234A109122}" filter="1" showAutoFilter="1">
      <autoFilter ref="$A$8:$R$19">
        <filterColumn colId="17">
          <filters/>
        </filterColumn>
      </autoFilter>
    </customSheetView>
    <customSheetView guid="{4CDEB16D-957F-46E0-B073-82BA58078811}" filter="1" showAutoFilter="1">
      <autoFilter ref="$A$8:$S$19"/>
    </customSheetView>
    <customSheetView guid="{41EC89E4-EEB1-42F9-9D42-62D67780E2D1}" filter="1" showAutoFilter="1">
      <autoFilter ref="$A$8:$R$19">
        <filterColumn colId="11">
          <filters/>
        </filterColumn>
      </autoFilter>
    </customSheetView>
    <customSheetView guid="{461316B6-17F5-406C-AD29-9E9E363CFA06}" filter="1" showAutoFilter="1">
      <autoFilter ref="$A$8:$R$19">
        <filterColumn colId="12">
          <filters/>
        </filterColumn>
      </autoFilter>
    </customSheetView>
    <customSheetView guid="{83CFE988-7961-4294-A58B-6D43D804AA72}" filter="1" showAutoFilter="1">
      <autoFilter ref="$A$8:$R$19"/>
    </customSheetView>
    <customSheetView guid="{59693195-0373-46FB-A9CA-38C62EF18CBE}" filter="1" showAutoFilter="1">
      <autoFilter ref="$A$8:$R$19">
        <filterColumn colId="17">
          <filters/>
        </filterColumn>
      </autoFilter>
    </customSheetView>
    <customSheetView guid="{1DC2AD82-D692-4630-94C1-2791270E8794}" filter="1" showAutoFilter="1">
      <autoFilter ref="$O$3"/>
    </customSheetView>
    <customSheetView guid="{3D2377A7-7B9A-4DD0-8064-B35170BE2591}" filter="1" showAutoFilter="1">
      <autoFilter ref="$A$8:$R$19">
        <filterColumn colId="8">
          <filters blank="1"/>
        </filterColumn>
        <filterColumn colId="17">
          <filters/>
        </filterColumn>
      </autoFilter>
    </customSheetView>
  </customSheetViews>
  <dataValidations>
    <dataValidation type="list" allowBlank="1" sqref="L9:L19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14.63"/>
    <col customWidth="1" min="5" max="5" width="23.0"/>
    <col customWidth="1" min="6" max="6" width="57.13"/>
    <col customWidth="1" min="7" max="7" width="19.13"/>
    <col customWidth="1" min="8" max="8" width="22.88"/>
    <col customWidth="1" min="9" max="9" width="16.0"/>
    <col customWidth="1" min="10" max="10" width="12.25"/>
    <col customWidth="1" min="11" max="11" width="18.38"/>
    <col customWidth="1" min="12" max="12" width="17.25"/>
    <col customWidth="1" min="13" max="13" width="25.13"/>
    <col customWidth="1" min="14" max="14" width="22.88"/>
  </cols>
  <sheetData>
    <row r="1">
      <c r="A1" s="1"/>
      <c r="B1" s="1"/>
      <c r="D1" s="226" t="s">
        <v>1321</v>
      </c>
      <c r="E1" s="1"/>
      <c r="F1" s="227" t="s">
        <v>1322</v>
      </c>
      <c r="G1" s="1"/>
      <c r="N1" s="229"/>
    </row>
    <row r="2">
      <c r="A2" s="6" t="s">
        <v>0</v>
      </c>
      <c r="B2" s="231"/>
      <c r="C2" s="231"/>
      <c r="D2" s="231"/>
      <c r="E2" s="1"/>
      <c r="F2" s="232"/>
      <c r="G2" s="1"/>
      <c r="H2" s="234"/>
      <c r="I2" s="234"/>
      <c r="J2" s="234"/>
      <c r="K2" s="234"/>
      <c r="L2" s="234"/>
      <c r="M2" s="234"/>
      <c r="N2" s="229"/>
    </row>
    <row r="3">
      <c r="A3" s="280"/>
      <c r="B3" s="236"/>
      <c r="C3" s="236"/>
      <c r="D3" s="236"/>
      <c r="E3" s="9"/>
      <c r="F3" s="237">
        <f>countif(H6:H16,"Yes")</f>
        <v>0</v>
      </c>
      <c r="G3" s="9"/>
      <c r="H3" s="234"/>
      <c r="I3" s="234"/>
      <c r="J3" s="234"/>
      <c r="K3" s="234"/>
      <c r="L3" s="234"/>
      <c r="M3" s="234"/>
      <c r="N3" s="229"/>
    </row>
    <row r="4">
      <c r="A4" s="9"/>
      <c r="B4" s="240"/>
      <c r="C4" s="240"/>
      <c r="D4" s="240"/>
      <c r="E4" s="9"/>
      <c r="F4" s="241"/>
      <c r="G4" s="9"/>
      <c r="H4" s="234"/>
      <c r="I4" s="234"/>
      <c r="J4" s="234"/>
      <c r="K4" s="234"/>
      <c r="L4" s="281"/>
      <c r="M4" s="234"/>
      <c r="N4" s="229"/>
    </row>
    <row r="5">
      <c r="A5" s="26" t="s">
        <v>6</v>
      </c>
      <c r="B5" s="27" t="s">
        <v>6</v>
      </c>
      <c r="C5" s="255" t="s">
        <v>1324</v>
      </c>
      <c r="D5" s="255">
        <v>0.0</v>
      </c>
      <c r="E5" s="255" t="s">
        <v>8</v>
      </c>
      <c r="F5" s="256" t="s">
        <v>1325</v>
      </c>
      <c r="G5" s="255" t="s">
        <v>8</v>
      </c>
      <c r="H5" s="255" t="s">
        <v>12</v>
      </c>
      <c r="I5" s="12" t="s">
        <v>1331</v>
      </c>
      <c r="J5" s="12" t="s">
        <v>1332</v>
      </c>
      <c r="K5" s="12" t="s">
        <v>1333</v>
      </c>
      <c r="L5" s="282" t="s">
        <v>1334</v>
      </c>
      <c r="M5" s="12" t="s">
        <v>1335</v>
      </c>
      <c r="N5" s="243" t="s">
        <v>18</v>
      </c>
    </row>
    <row r="6">
      <c r="A6" s="283">
        <v>1433.0</v>
      </c>
      <c r="B6" s="284">
        <v>1433.0</v>
      </c>
      <c r="C6" s="260">
        <v>1.0</v>
      </c>
      <c r="D6" s="260"/>
      <c r="E6" s="260"/>
      <c r="F6" s="262"/>
      <c r="G6" s="260"/>
      <c r="H6" s="265"/>
      <c r="I6" s="269" t="s">
        <v>35</v>
      </c>
      <c r="J6" s="285"/>
      <c r="K6" s="286"/>
      <c r="L6" s="287"/>
      <c r="M6" s="285"/>
      <c r="N6" s="288"/>
    </row>
    <row r="7">
      <c r="A7" s="33">
        <v>362.0</v>
      </c>
      <c r="B7" s="34">
        <v>362.0</v>
      </c>
      <c r="C7" s="260">
        <v>2.0</v>
      </c>
      <c r="D7" s="289"/>
      <c r="E7" s="289"/>
      <c r="F7" s="289"/>
      <c r="G7" s="289"/>
      <c r="H7" s="290"/>
      <c r="I7" s="291" t="s">
        <v>20</v>
      </c>
      <c r="J7" s="292"/>
      <c r="K7" s="293"/>
      <c r="L7" s="294"/>
      <c r="M7" s="292"/>
      <c r="N7" s="295"/>
    </row>
    <row r="8">
      <c r="A8" s="33">
        <v>1001.0</v>
      </c>
      <c r="B8" s="34">
        <v>1001.0</v>
      </c>
      <c r="C8" s="260">
        <v>3.0</v>
      </c>
      <c r="D8" s="289"/>
      <c r="E8" s="289"/>
      <c r="F8" s="296"/>
      <c r="G8" s="289"/>
      <c r="H8" s="290"/>
      <c r="I8" s="291" t="s">
        <v>20</v>
      </c>
      <c r="J8" s="292"/>
      <c r="K8" s="293"/>
      <c r="L8" s="294"/>
      <c r="M8" s="292"/>
      <c r="N8" s="295"/>
    </row>
    <row r="9">
      <c r="A9" s="33">
        <v>1120.0</v>
      </c>
      <c r="B9" s="34">
        <v>1120.0</v>
      </c>
      <c r="C9" s="260">
        <v>4.0</v>
      </c>
      <c r="D9" s="289"/>
      <c r="E9" s="289"/>
      <c r="F9" s="297"/>
      <c r="G9" s="289"/>
      <c r="H9" s="290"/>
      <c r="I9" s="291" t="s">
        <v>20</v>
      </c>
      <c r="J9" s="292"/>
      <c r="K9" s="293"/>
      <c r="L9" s="294"/>
      <c r="M9" s="292"/>
      <c r="N9" s="295"/>
    </row>
    <row r="10">
      <c r="A10" s="33">
        <v>222.0</v>
      </c>
      <c r="B10" s="34">
        <v>222.0</v>
      </c>
      <c r="C10" s="260">
        <v>5.0</v>
      </c>
      <c r="D10" s="289"/>
      <c r="E10" s="289"/>
      <c r="F10" s="297"/>
      <c r="G10" s="289"/>
      <c r="H10" s="290"/>
      <c r="I10" s="291" t="s">
        <v>20</v>
      </c>
      <c r="J10" s="292"/>
      <c r="K10" s="293"/>
      <c r="L10" s="294"/>
      <c r="M10" s="292"/>
      <c r="N10" s="295"/>
    </row>
    <row r="11">
      <c r="A11" s="33">
        <v>417.0</v>
      </c>
      <c r="B11" s="34">
        <v>417.0</v>
      </c>
      <c r="C11" s="260">
        <v>6.0</v>
      </c>
      <c r="D11" s="289"/>
      <c r="E11" s="289"/>
      <c r="F11" s="297"/>
      <c r="G11" s="289"/>
      <c r="H11" s="290"/>
      <c r="I11" s="291" t="s">
        <v>20</v>
      </c>
      <c r="J11" s="292"/>
      <c r="K11" s="293"/>
      <c r="L11" s="294"/>
      <c r="M11" s="292"/>
      <c r="N11" s="295"/>
    </row>
    <row r="12">
      <c r="A12" s="33">
        <v>884.0</v>
      </c>
      <c r="B12" s="34">
        <v>884.0</v>
      </c>
      <c r="C12" s="260">
        <v>7.0</v>
      </c>
      <c r="D12" s="289"/>
      <c r="E12" s="289"/>
      <c r="F12" s="297"/>
      <c r="G12" s="289"/>
      <c r="H12" s="290"/>
      <c r="I12" s="291" t="s">
        <v>20</v>
      </c>
      <c r="J12" s="292"/>
      <c r="K12" s="293"/>
      <c r="L12" s="294"/>
      <c r="M12" s="292"/>
      <c r="N12" s="295"/>
    </row>
    <row r="13">
      <c r="A13" s="45">
        <v>1285.0</v>
      </c>
      <c r="B13" s="45">
        <v>1285.0</v>
      </c>
      <c r="C13" s="260">
        <v>8.0</v>
      </c>
      <c r="D13" s="298"/>
      <c r="E13" s="298"/>
      <c r="F13" s="299"/>
      <c r="G13" s="298"/>
      <c r="H13" s="290"/>
      <c r="I13" s="291" t="s">
        <v>20</v>
      </c>
      <c r="J13" s="292"/>
      <c r="K13" s="293"/>
      <c r="L13" s="294"/>
      <c r="M13" s="292"/>
      <c r="N13" s="300"/>
    </row>
    <row r="14">
      <c r="A14" s="33">
        <v>1220.0</v>
      </c>
      <c r="B14" s="34">
        <v>1220.0</v>
      </c>
      <c r="C14" s="260">
        <v>9.0</v>
      </c>
      <c r="D14" s="289"/>
      <c r="E14" s="289"/>
      <c r="F14" s="296"/>
      <c r="G14" s="289"/>
      <c r="H14" s="290"/>
      <c r="I14" s="291" t="s">
        <v>20</v>
      </c>
      <c r="J14" s="292"/>
      <c r="K14" s="293"/>
      <c r="L14" s="294"/>
      <c r="M14" s="292"/>
      <c r="N14" s="300"/>
    </row>
    <row r="15">
      <c r="A15" s="33">
        <v>55.0</v>
      </c>
      <c r="B15" s="34">
        <v>55.0</v>
      </c>
      <c r="C15" s="260">
        <v>10.0</v>
      </c>
      <c r="D15" s="289"/>
      <c r="E15" s="289"/>
      <c r="F15" s="296"/>
      <c r="G15" s="289"/>
      <c r="H15" s="290"/>
      <c r="I15" s="291" t="s">
        <v>20</v>
      </c>
      <c r="J15" s="292"/>
      <c r="K15" s="293"/>
      <c r="L15" s="294"/>
      <c r="M15" s="292"/>
      <c r="N15" s="300"/>
    </row>
    <row r="16">
      <c r="A16" s="51">
        <v>223.0</v>
      </c>
      <c r="B16" s="51">
        <v>223.0</v>
      </c>
      <c r="C16" s="260">
        <v>11.0</v>
      </c>
      <c r="D16" s="289"/>
      <c r="E16" s="289"/>
      <c r="F16" s="301"/>
      <c r="G16" s="289"/>
      <c r="H16" s="290"/>
      <c r="I16" s="291" t="s">
        <v>20</v>
      </c>
      <c r="J16" s="292"/>
      <c r="K16" s="293"/>
      <c r="L16" s="294"/>
      <c r="M16" s="292"/>
      <c r="N16" s="300"/>
    </row>
    <row r="17">
      <c r="A17" s="33"/>
      <c r="B17" s="230"/>
    </row>
  </sheetData>
  <autoFilter ref="$A$5:$N$17">
    <sortState ref="A5:N17">
      <sortCondition descending="1" ref="K5:K17"/>
    </sortState>
  </autoFilter>
  <customSheetViews>
    <customSheetView guid="{4B942B8B-C855-402E-B1CA-C99DA2CDE73C}" filter="1" showAutoFilter="1">
      <autoFilter ref="$A$5:$N$17">
        <filterColumn colId="13">
          <filters blank="1"/>
        </filterColumn>
      </autoFilter>
    </customSheetView>
    <customSheetView guid="{59693195-0373-46FB-A9CA-38C62EF18CBE}" filter="1" showAutoFilter="1">
      <autoFilter ref="$A$5:$N$17">
        <filterColumn colId="13">
          <filters blank="1"/>
        </filterColumn>
      </autoFilter>
    </customSheetView>
    <customSheetView guid="{B995BA34-E10D-40AF-AA8C-B5692B2826B5}" filter="1" showAutoFilter="1">
      <autoFilter ref="$A$5:$H$17">
        <filterColumn colId="7">
          <filters/>
        </filterColumn>
      </autoFilter>
    </customSheetView>
    <customSheetView guid="{BE7EE906-3AC6-489B-8307-8DCF78AC4CC4}" filter="1" showAutoFilter="1">
      <autoFilter ref="$A$5:$N$17">
        <filterColumn colId="7">
          <filters blank="1"/>
        </filterColumn>
        <filterColumn colId="13">
          <filters blank="1"/>
        </filterColumn>
      </autoFilter>
    </customSheetView>
    <customSheetView guid="{1C94B833-20B3-4B74-ACE6-0864EB8F8213}" filter="1" showAutoFilter="1">
      <autoFilter ref="$A$5:$N$17"/>
    </customSheetView>
    <customSheetView guid="{D0F387BE-95CD-4215-B4D7-7CB6B328D750}" filter="1" showAutoFilter="1">
      <autoFilter ref="$A$5:$N$17">
        <filterColumn colId="13">
          <filters blank="1"/>
        </filterColumn>
      </autoFilter>
    </customSheetView>
    <customSheetView guid="{3D2377A7-7B9A-4DD0-8064-B35170BE2591}" filter="1" showAutoFilter="1">
      <autoFilter ref="$A$5:$N$17">
        <filterColumn colId="13">
          <filters blank="1"/>
        </filterColumn>
      </autoFilter>
    </customSheetView>
    <customSheetView guid="{3244BD90-1F1B-49B1-9805-E2AEEAC5DF7E}" filter="1" showAutoFilter="1">
      <autoFilter ref="$A$5:$N$17">
        <filterColumn colId="13">
          <filters blank="1"/>
        </filterColumn>
      </autoFilter>
    </customSheetView>
    <customSheetView guid="{41EC89E4-EEB1-42F9-9D42-62D67780E2D1}" filter="1" showAutoFilter="1">
      <autoFilter ref="$A$5:$N$17">
        <filterColumn colId="7">
          <filters blank="1"/>
        </filterColumn>
      </autoFilter>
    </customSheetView>
    <customSheetView guid="{B340BCCB-2239-4F53-A7F5-8859E4CC659F}" filter="1" showAutoFilter="1">
      <autoFilter ref="$A$5:$N$17">
        <filterColumn colId="13">
          <filters blank="1"/>
        </filterColumn>
      </autoFilter>
    </customSheetView>
    <customSheetView guid="{83CFE988-7961-4294-A58B-6D43D804AA72}" filter="1" showAutoFilter="1">
      <autoFilter ref="$A$5:$N$17"/>
    </customSheetView>
    <customSheetView guid="{89D674A9-5E02-46F3-8EAE-C90AAEBD18CB}" filter="1" showAutoFilter="1">
      <autoFilter ref="$A$5:$N$17">
        <filterColumn colId="7">
          <filters blank="1"/>
        </filterColumn>
        <filterColumn colId="13">
          <filters/>
        </filterColumn>
      </autoFilter>
    </customSheetView>
    <customSheetView guid="{B8F91280-5839-4824-9837-B33C2803B9C9}" filter="1" showAutoFilter="1">
      <autoFilter ref="$A$5:$N$17">
        <filterColumn colId="13">
          <filters blank="1"/>
        </filterColumn>
      </autoFilter>
    </customSheetView>
    <customSheetView guid="{F79953EE-21CA-4328-B7CE-2E5232C4758F}" filter="1" showAutoFilter="1">
      <autoFilter ref="$A$5:$N$17"/>
    </customSheetView>
    <customSheetView guid="{29638FDE-F393-4482-95FA-94A7C29B2F6D}" filter="1" showAutoFilter="1">
      <autoFilter ref="$A$5:$N$17">
        <filterColumn colId="7">
          <filters blank="1"/>
        </filterColumn>
      </autoFilter>
    </customSheetView>
    <customSheetView guid="{03BA606A-9EF1-488F-B5B6-5F234A109122}" filter="1" showAutoFilter="1">
      <autoFilter ref="$A$5:$N$17">
        <filterColumn colId="13">
          <filters blank="1"/>
        </filterColumn>
      </autoFilter>
    </customSheetView>
    <customSheetView guid="{55429418-C5E5-48EC-BE8C-D5FCDB9B5FF0}" filter="1" showAutoFilter="1">
      <autoFilter ref="$A$5:$N$17"/>
    </customSheetView>
  </customSheetViews>
  <dataValidations>
    <dataValidation type="list" allowBlank="1" sqref="H6:K16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17.75"/>
    <col customWidth="1" min="5" max="5" width="64.38"/>
    <col customWidth="1" min="6" max="6" width="14.0"/>
    <col customWidth="1" min="7" max="7" width="13.13"/>
    <col customWidth="1" min="8" max="8" width="12.5"/>
    <col customWidth="1" hidden="1" min="9" max="9" width="26.0"/>
  </cols>
  <sheetData>
    <row r="1">
      <c r="A1" s="224"/>
      <c r="B1" s="224"/>
      <c r="C1" s="225">
        <v>1.0</v>
      </c>
      <c r="D1" s="226" t="s">
        <v>1321</v>
      </c>
      <c r="E1" s="227" t="s">
        <v>1322</v>
      </c>
      <c r="F1" s="227"/>
      <c r="G1" s="227"/>
      <c r="H1" s="16"/>
      <c r="I1" s="229"/>
    </row>
    <row r="2" hidden="1">
      <c r="A2" s="6" t="s">
        <v>0</v>
      </c>
      <c r="B2" s="231"/>
      <c r="C2" s="231"/>
      <c r="D2" s="231"/>
      <c r="E2" s="232"/>
      <c r="F2" s="233"/>
      <c r="G2" s="233"/>
      <c r="H2" s="234"/>
      <c r="I2" s="229"/>
    </row>
    <row r="3">
      <c r="A3" s="235"/>
      <c r="B3" s="236"/>
      <c r="C3" s="236">
        <v>1.0</v>
      </c>
      <c r="D3" s="236"/>
      <c r="E3" s="237">
        <f>countif(H7:H574,"Yes")</f>
        <v>555</v>
      </c>
      <c r="F3" s="238"/>
      <c r="G3" s="238"/>
      <c r="H3" s="234"/>
      <c r="I3" s="229"/>
    </row>
    <row r="4">
      <c r="A4" s="239"/>
      <c r="B4" s="240"/>
      <c r="C4" s="240"/>
      <c r="D4" s="240"/>
      <c r="E4" s="241"/>
      <c r="F4" s="242"/>
      <c r="G4" s="242"/>
      <c r="H4" s="234"/>
      <c r="I4" s="229"/>
    </row>
    <row r="5">
      <c r="A5" s="20"/>
      <c r="B5" s="249"/>
      <c r="C5" s="250"/>
      <c r="D5" s="250"/>
      <c r="E5" s="251"/>
      <c r="F5" s="252"/>
      <c r="G5" s="252"/>
      <c r="H5" s="248"/>
      <c r="I5" s="254"/>
    </row>
    <row r="6">
      <c r="A6" s="26" t="s">
        <v>6</v>
      </c>
      <c r="B6" s="27" t="s">
        <v>6</v>
      </c>
      <c r="C6" s="255" t="s">
        <v>1324</v>
      </c>
      <c r="D6" s="255" t="s">
        <v>6</v>
      </c>
      <c r="E6" s="256" t="s">
        <v>1325</v>
      </c>
      <c r="F6" s="256" t="s">
        <v>1326</v>
      </c>
      <c r="G6" s="256" t="s">
        <v>1327</v>
      </c>
      <c r="H6" s="255" t="s">
        <v>12</v>
      </c>
      <c r="I6" s="243" t="s">
        <v>15</v>
      </c>
    </row>
    <row r="7" hidden="1">
      <c r="A7" s="258">
        <v>362.0</v>
      </c>
      <c r="B7" s="259">
        <v>362.0</v>
      </c>
      <c r="C7" s="260">
        <v>1.0</v>
      </c>
      <c r="D7" s="261" t="str">
        <f>IFERROR(__xludf.DUMMYFUNCTION("if(B7&lt;=999,if(B7&lt;=99,IF(B7&lt;=9,join(,""000"",B7),join(,""00"",B7)),join(,""0"",B7)),B7)"),"0362")</f>
        <v>0362</v>
      </c>
      <c r="E7" s="262" t="s">
        <v>19</v>
      </c>
      <c r="F7" s="263" t="str">
        <f>vlookup(B7,'Geotagging Master All-Training '!$A$2:$C$2474,2,false)</f>
        <v>#N/A</v>
      </c>
      <c r="G7" s="263" t="str">
        <f>vlookup(B7,'Geotagging Master All-Training '!$A$2:$C$2474,3,false)</f>
        <v>#N/A</v>
      </c>
      <c r="H7" s="265" t="s">
        <v>20</v>
      </c>
      <c r="I7" s="266">
        <v>80.0</v>
      </c>
    </row>
    <row r="8" hidden="1">
      <c r="A8" s="258">
        <v>1001.0</v>
      </c>
      <c r="B8" s="259">
        <v>1001.0</v>
      </c>
      <c r="C8" s="260">
        <v>2.0</v>
      </c>
      <c r="D8" s="260">
        <f>IFERROR(__xludf.DUMMYFUNCTION("if(B8&lt;=999,if(B8&lt;=99,IF(B8&lt;=9,join(,""000"",B8),join(,""00"",B8)),join(,""0"",B8)),B8)"),1001.0)</f>
        <v>1001</v>
      </c>
      <c r="E8" s="262" t="s">
        <v>27</v>
      </c>
      <c r="F8" s="263" t="str">
        <f>vlookup(B8,'Geotagging Master All-Training '!$A$2:$C$2474,2,false)</f>
        <v>#N/A</v>
      </c>
      <c r="G8" s="263" t="str">
        <f>vlookup(B8,'Geotagging Master All-Training '!$A$2:$C$2474,3,false)</f>
        <v>#N/A</v>
      </c>
      <c r="H8" s="265" t="s">
        <v>20</v>
      </c>
      <c r="I8" s="266" t="s">
        <v>30</v>
      </c>
    </row>
    <row r="9" hidden="1">
      <c r="A9" s="258">
        <v>1120.0</v>
      </c>
      <c r="B9" s="259">
        <v>1120.0</v>
      </c>
      <c r="C9" s="260">
        <v>3.0</v>
      </c>
      <c r="D9" s="260">
        <f>IFERROR(__xludf.DUMMYFUNCTION("if(B9&lt;=999,if(B9&lt;=99,IF(B9&lt;=9,join(,""000"",B9),join(,""00"",B9)),join(,""0"",B9)),B9)"),1120.0)</f>
        <v>1120</v>
      </c>
      <c r="E9" s="270" t="s">
        <v>33</v>
      </c>
      <c r="F9" s="263" t="str">
        <f>vlookup(B9,'Geotagging Master All-Training '!$A$2:$C$2474,2,false)</f>
        <v>#N/A</v>
      </c>
      <c r="G9" s="263" t="str">
        <f>vlookup(B9,'Geotagging Master All-Training '!$A$2:$C$2474,3,false)</f>
        <v>#N/A</v>
      </c>
      <c r="H9" s="265" t="s">
        <v>20</v>
      </c>
      <c r="I9" s="266"/>
    </row>
    <row r="10" hidden="1">
      <c r="A10" s="258">
        <v>222.0</v>
      </c>
      <c r="B10" s="259">
        <v>222.0</v>
      </c>
      <c r="C10" s="260">
        <v>4.0</v>
      </c>
      <c r="D10" s="260" t="str">
        <f>IFERROR(__xludf.DUMMYFUNCTION("if(B10&lt;=999,if(B10&lt;=99,IF(B10&lt;=9,join(,""000"",B10),join(,""00"",B10)),join(,""0"",B10)),B10)"),"0222")</f>
        <v>0222</v>
      </c>
      <c r="E10" s="270" t="s">
        <v>40</v>
      </c>
      <c r="F10" s="263" t="str">
        <f>vlookup(B10,'Geotagging Master All-Training '!$A$2:$C$2474,2,false)</f>
        <v>#N/A</v>
      </c>
      <c r="G10" s="263" t="str">
        <f>vlookup(B10,'Geotagging Master All-Training '!$A$2:$C$2474,3,false)</f>
        <v>#N/A</v>
      </c>
      <c r="H10" s="265" t="s">
        <v>20</v>
      </c>
      <c r="I10" s="266" t="s">
        <v>42</v>
      </c>
    </row>
    <row r="11" hidden="1">
      <c r="A11" s="258">
        <v>417.0</v>
      </c>
      <c r="B11" s="259">
        <v>417.0</v>
      </c>
      <c r="C11" s="260">
        <v>5.0</v>
      </c>
      <c r="D11" s="260" t="str">
        <f>IFERROR(__xludf.DUMMYFUNCTION("if(B11&lt;=999,if(B11&lt;=99,IF(B11&lt;=9,join(,""000"",B11),join(,""00"",B11)),join(,""0"",B11)),B11)"),"0417")</f>
        <v>0417</v>
      </c>
      <c r="E11" s="270" t="s">
        <v>44</v>
      </c>
      <c r="F11" s="263" t="str">
        <f>vlookup(B11,'Geotagging Master All-Training '!$A$2:$C$2474,2,false)</f>
        <v>#N/A</v>
      </c>
      <c r="G11" s="263" t="str">
        <f>vlookup(B11,'Geotagging Master All-Training '!$A$2:$C$2474,3,false)</f>
        <v>#N/A</v>
      </c>
      <c r="H11" s="265" t="s">
        <v>20</v>
      </c>
      <c r="I11" s="266" t="e">
        <v>#N/A</v>
      </c>
    </row>
    <row r="12" hidden="1">
      <c r="A12" s="258">
        <v>884.0</v>
      </c>
      <c r="B12" s="259">
        <v>884.0</v>
      </c>
      <c r="C12" s="260">
        <v>6.0</v>
      </c>
      <c r="D12" s="260" t="str">
        <f>IFERROR(__xludf.DUMMYFUNCTION("if(B12&lt;=999,if(B12&lt;=99,IF(B12&lt;=9,join(,""000"",B12),join(,""00"",B12)),join(,""0"",B12)),B12)"),"0884")</f>
        <v>0884</v>
      </c>
      <c r="E12" s="270" t="s">
        <v>45</v>
      </c>
      <c r="F12" s="263" t="str">
        <f>vlookup(B12,'Geotagging Master All-Training '!$A$2:$C$2474,2,false)</f>
        <v>#N/A</v>
      </c>
      <c r="G12" s="263" t="str">
        <f>vlookup(B12,'Geotagging Master All-Training '!$A$2:$C$2474,3,false)</f>
        <v>#N/A</v>
      </c>
      <c r="H12" s="265" t="s">
        <v>20</v>
      </c>
      <c r="I12" s="266" t="e">
        <v>#N/A</v>
      </c>
    </row>
    <row r="13" hidden="1">
      <c r="A13" s="272">
        <v>1285.0</v>
      </c>
      <c r="B13" s="272">
        <v>1285.0</v>
      </c>
      <c r="C13" s="260">
        <v>7.0</v>
      </c>
      <c r="D13" s="273">
        <f>IFERROR(__xludf.DUMMYFUNCTION("if(B13&lt;=999,if(B13&lt;=99,IF(B13&lt;=9,join(,""000"",B13),join(,""00"",B13)),join(,""0"",B13)),B13)"),1285.0)</f>
        <v>1285</v>
      </c>
      <c r="E13" s="274" t="s">
        <v>47</v>
      </c>
      <c r="F13" s="263" t="str">
        <f>vlookup(B13,'Geotagging Master All-Training '!$A$2:$C$2474,2,false)</f>
        <v>#N/A</v>
      </c>
      <c r="G13" s="263" t="str">
        <f>vlookup(B13,'Geotagging Master All-Training '!$A$2:$C$2474,3,false)</f>
        <v>#N/A</v>
      </c>
      <c r="H13" s="276" t="s">
        <v>20</v>
      </c>
      <c r="I13" s="277">
        <v>16.0</v>
      </c>
    </row>
    <row r="14" hidden="1">
      <c r="A14" s="258">
        <v>1220.0</v>
      </c>
      <c r="B14" s="259">
        <v>1220.0</v>
      </c>
      <c r="C14" s="260">
        <v>8.0</v>
      </c>
      <c r="D14" s="260">
        <f>IFERROR(__xludf.DUMMYFUNCTION("if(B14&lt;=999,if(B14&lt;=99,IF(B14&lt;=9,join(,""000"",B14),join(,""00"",B14)),join(,""0"",B14)),B14)"),1220.0)</f>
        <v>1220</v>
      </c>
      <c r="E14" s="262" t="s">
        <v>51</v>
      </c>
      <c r="F14" s="263" t="str">
        <f>vlookup(B14,'Geotagging Master All-Training '!$A$2:$C$2474,2,false)</f>
        <v>#N/A</v>
      </c>
      <c r="G14" s="263" t="str">
        <f>vlookup(B14,'Geotagging Master All-Training '!$A$2:$C$2474,3,false)</f>
        <v>#N/A</v>
      </c>
      <c r="H14" s="265" t="s">
        <v>20</v>
      </c>
      <c r="I14" s="266" t="s">
        <v>53</v>
      </c>
    </row>
    <row r="15" hidden="1">
      <c r="A15" s="258">
        <v>55.0</v>
      </c>
      <c r="B15" s="259">
        <v>55.0</v>
      </c>
      <c r="C15" s="260">
        <v>9.0</v>
      </c>
      <c r="D15" s="260" t="str">
        <f>IFERROR(__xludf.DUMMYFUNCTION("if(B15&lt;=999,if(B15&lt;=99,IF(B15&lt;=9,join(,""000"",B15),join(,""00"",B15)),join(,""0"",B15)),B15)"),"0055")</f>
        <v>0055</v>
      </c>
      <c r="E15" s="262" t="s">
        <v>57</v>
      </c>
      <c r="F15" s="263" t="str">
        <f>vlookup(B15,'Geotagging Master All-Training '!$A$2:$C$2474,2,false)</f>
        <v>#N/A</v>
      </c>
      <c r="G15" s="263" t="str">
        <f>vlookup(B15,'Geotagging Master All-Training '!$A$2:$C$2474,3,false)</f>
        <v>#N/A</v>
      </c>
      <c r="H15" s="265" t="s">
        <v>20</v>
      </c>
      <c r="I15" s="266">
        <v>37777.0</v>
      </c>
    </row>
    <row r="16" hidden="1">
      <c r="A16" s="258">
        <v>223.0</v>
      </c>
      <c r="B16" s="258">
        <v>223.0</v>
      </c>
      <c r="C16" s="260">
        <v>10.0</v>
      </c>
      <c r="D16" s="260" t="str">
        <f>IFERROR(__xludf.DUMMYFUNCTION("if(B16&lt;=999,if(B16&lt;=99,IF(B16&lt;=9,join(,""000"",B16),join(,""00"",B16)),join(,""0"",B16)),B16)"),"0223")</f>
        <v>0223</v>
      </c>
      <c r="E16" s="262" t="s">
        <v>59</v>
      </c>
      <c r="F16" s="263" t="str">
        <f>vlookup(B16,'Geotagging Master All-Training '!$A$2:$C$2474,2,false)</f>
        <v>#N/A</v>
      </c>
      <c r="G16" s="263" t="str">
        <f>vlookup(B16,'Geotagging Master All-Training '!$A$2:$C$2474,3,false)</f>
        <v>#N/A</v>
      </c>
      <c r="H16" s="265" t="s">
        <v>20</v>
      </c>
      <c r="I16" s="266">
        <v>2902.0</v>
      </c>
    </row>
    <row r="17" hidden="1">
      <c r="A17" s="258">
        <v>1067.0</v>
      </c>
      <c r="B17" s="258">
        <v>1067.0</v>
      </c>
      <c r="C17" s="260">
        <v>11.0</v>
      </c>
      <c r="D17" s="260">
        <f>IFERROR(__xludf.DUMMYFUNCTION("if(B17&lt;=999,if(B17&lt;=99,IF(B17&lt;=9,join(,""000"",B17),join(,""00"",B17)),join(,""0"",B17)),B17)"),1067.0)</f>
        <v>1067</v>
      </c>
      <c r="E17" s="262" t="s">
        <v>62</v>
      </c>
      <c r="F17" s="263" t="str">
        <f>vlookup(B17,'Geotagging Master All-Training '!$A$2:$C$2474,2,false)</f>
        <v>#N/A</v>
      </c>
      <c r="G17" s="263" t="str">
        <f>vlookup(B17,'Geotagging Master All-Training '!$A$2:$C$2474,3,false)</f>
        <v>#N/A</v>
      </c>
      <c r="H17" s="265" t="s">
        <v>20</v>
      </c>
      <c r="I17" s="266">
        <v>16.0</v>
      </c>
    </row>
    <row r="18">
      <c r="A18" s="272">
        <v>1069.0</v>
      </c>
      <c r="B18" s="272">
        <v>1069.0</v>
      </c>
      <c r="C18" s="273">
        <v>1.0</v>
      </c>
      <c r="D18" s="273"/>
      <c r="E18" s="302"/>
      <c r="F18" s="303"/>
      <c r="G18" s="303"/>
      <c r="H18" s="276"/>
      <c r="I18" s="277">
        <v>80.0</v>
      </c>
    </row>
    <row r="19" hidden="1">
      <c r="A19" s="258">
        <v>29.0</v>
      </c>
      <c r="B19" s="258">
        <v>29.0</v>
      </c>
      <c r="C19" s="260">
        <v>13.0</v>
      </c>
      <c r="D19" s="260" t="str">
        <f>IFERROR(__xludf.DUMMYFUNCTION("if(B19&lt;=999,if(B19&lt;=99,IF(B19&lt;=9,join(,""000"",B19),join(,""00"",B19)),join(,""0"",B19)),B19)"),"0029")</f>
        <v>0029</v>
      </c>
      <c r="E19" s="270" t="s">
        <v>828</v>
      </c>
      <c r="F19" s="263" t="str">
        <f>vlookup(B19,'Geotagging Master All-Training '!$A$2:$C$2474,2,false)</f>
        <v>#N/A</v>
      </c>
      <c r="G19" s="263" t="str">
        <f>vlookup(B19,'Geotagging Master All-Training '!$A$2:$C$2474,3,false)</f>
        <v>#N/A</v>
      </c>
      <c r="H19" s="265" t="s">
        <v>20</v>
      </c>
      <c r="I19" s="266">
        <v>25001.0</v>
      </c>
    </row>
    <row r="20" hidden="1">
      <c r="A20" s="258">
        <v>1211.0</v>
      </c>
      <c r="B20" s="258">
        <v>1211.0</v>
      </c>
      <c r="C20" s="260">
        <v>14.0</v>
      </c>
      <c r="D20" s="260">
        <f>IFERROR(__xludf.DUMMYFUNCTION("if(B20&lt;=999,if(B20&lt;=99,IF(B20&lt;=9,join(,""000"",B20),join(,""00"",B20)),join(,""0"",B20)),B20)"),1211.0)</f>
        <v>1211</v>
      </c>
      <c r="E20" s="270" t="s">
        <v>69</v>
      </c>
      <c r="F20" s="263" t="str">
        <f>vlookup(B20,'Geotagging Master All-Training '!$A$2:$C$2474,2,false)</f>
        <v>#N/A</v>
      </c>
      <c r="G20" s="263" t="str">
        <f>vlookup(B20,'Geotagging Master All-Training '!$A$2:$C$2474,3,false)</f>
        <v>#N/A</v>
      </c>
      <c r="H20" s="265" t="s">
        <v>20</v>
      </c>
      <c r="I20" s="266">
        <v>9500.0</v>
      </c>
    </row>
    <row r="21" hidden="1">
      <c r="A21" s="258">
        <v>1031.0</v>
      </c>
      <c r="B21" s="258">
        <v>1031.0</v>
      </c>
      <c r="C21" s="260">
        <v>15.0</v>
      </c>
      <c r="D21" s="260">
        <f>IFERROR(__xludf.DUMMYFUNCTION("if(B21&lt;=999,if(B21&lt;=99,IF(B21&lt;=9,join(,""000"",B21),join(,""00"",B21)),join(,""0"",B21)),B21)"),1031.0)</f>
        <v>1031</v>
      </c>
      <c r="E21" s="262" t="s">
        <v>71</v>
      </c>
      <c r="F21" s="263" t="str">
        <f>vlookup(B21,'Geotagging Master All-Training '!$A$2:$C$2474,2,false)</f>
        <v>#N/A</v>
      </c>
      <c r="G21" s="263" t="str">
        <f>vlookup(B21,'Geotagging Master All-Training '!$A$2:$C$2474,3,false)</f>
        <v>#N/A</v>
      </c>
      <c r="H21" s="265" t="s">
        <v>20</v>
      </c>
      <c r="I21" s="266" t="e">
        <v>#N/A</v>
      </c>
    </row>
    <row r="22" hidden="1">
      <c r="A22" s="258">
        <v>1082.0</v>
      </c>
      <c r="B22" s="258">
        <v>1082.0</v>
      </c>
      <c r="C22" s="260">
        <v>16.0</v>
      </c>
      <c r="D22" s="260">
        <f>IFERROR(__xludf.DUMMYFUNCTION("if(B22&lt;=999,if(B22&lt;=99,IF(B22&lt;=9,join(,""000"",B22),join(,""00"",B22)),join(,""0"",B22)),B22)"),1082.0)</f>
        <v>1082</v>
      </c>
      <c r="E22" s="270" t="s">
        <v>72</v>
      </c>
      <c r="F22" s="263" t="str">
        <f>vlookup(B22,'Geotagging Master All-Training '!$A$2:$C$2474,2,false)</f>
        <v>#N/A</v>
      </c>
      <c r="G22" s="263" t="str">
        <f>vlookup(B22,'Geotagging Master All-Training '!$A$2:$C$2474,3,false)</f>
        <v>#N/A</v>
      </c>
      <c r="H22" s="265" t="s">
        <v>20</v>
      </c>
      <c r="I22" s="266">
        <v>16.0</v>
      </c>
    </row>
    <row r="23" hidden="1">
      <c r="A23" s="258">
        <v>245.0</v>
      </c>
      <c r="B23" s="259">
        <v>245.0</v>
      </c>
      <c r="C23" s="260">
        <v>17.0</v>
      </c>
      <c r="D23" s="260" t="str">
        <f>IFERROR(__xludf.DUMMYFUNCTION("if(B23&lt;=999,if(B23&lt;=99,IF(B23&lt;=9,join(,""000"",B23),join(,""00"",B23)),join(,""0"",B23)),B23)"),"0245")</f>
        <v>0245</v>
      </c>
      <c r="E23" s="262" t="s">
        <v>74</v>
      </c>
      <c r="F23" s="263" t="str">
        <f>vlookup(B23,'Geotagging Master All-Training '!$A$2:$C$2474,2,false)</f>
        <v>#N/A</v>
      </c>
      <c r="G23" s="263" t="str">
        <f>vlookup(B23,'Geotagging Master All-Training '!$A$2:$C$2474,3,false)</f>
        <v>#N/A</v>
      </c>
      <c r="H23" s="265" t="s">
        <v>20</v>
      </c>
      <c r="I23" s="266">
        <v>123.0</v>
      </c>
    </row>
    <row r="24" hidden="1">
      <c r="A24" s="258">
        <v>40.0</v>
      </c>
      <c r="B24" s="259">
        <v>40.0</v>
      </c>
      <c r="C24" s="260">
        <v>18.0</v>
      </c>
      <c r="D24" s="260" t="str">
        <f>IFERROR(__xludf.DUMMYFUNCTION("if(B24&lt;=999,if(B24&lt;=99,IF(B24&lt;=9,join(,""000"",B24),join(,""00"",B24)),join(,""0"",B24)),B24)"),"0040")</f>
        <v>0040</v>
      </c>
      <c r="E24" s="262" t="s">
        <v>76</v>
      </c>
      <c r="F24" s="263" t="str">
        <f>vlookup(B24,'Geotagging Master All-Training '!$A$2:$C$2474,2,false)</f>
        <v>#N/A</v>
      </c>
      <c r="G24" s="263" t="str">
        <f>vlookup(B24,'Geotagging Master All-Training '!$A$2:$C$2474,3,false)</f>
        <v>#N/A</v>
      </c>
      <c r="H24" s="265" t="s">
        <v>20</v>
      </c>
      <c r="I24" s="266" t="s">
        <v>79</v>
      </c>
    </row>
    <row r="25" hidden="1">
      <c r="A25" s="272">
        <v>39.0</v>
      </c>
      <c r="B25" s="272">
        <v>39.0</v>
      </c>
      <c r="C25" s="260">
        <v>19.0</v>
      </c>
      <c r="D25" s="273" t="str">
        <f>IFERROR(__xludf.DUMMYFUNCTION("if(B25&lt;=999,if(B25&lt;=99,IF(B25&lt;=9,join(,""000"",B25),join(,""00"",B25)),join(,""0"",B25)),B25)"),"0039")</f>
        <v>0039</v>
      </c>
      <c r="E25" s="274" t="s">
        <v>83</v>
      </c>
      <c r="F25" s="263" t="str">
        <f>vlookup(B25,'Geotagging Master All-Training '!$A$2:$C$2474,2,false)</f>
        <v>#N/A</v>
      </c>
      <c r="G25" s="263" t="str">
        <f>vlookup(B25,'Geotagging Master All-Training '!$A$2:$C$2474,3,false)</f>
        <v>#N/A</v>
      </c>
      <c r="H25" s="276" t="s">
        <v>20</v>
      </c>
      <c r="I25" s="277">
        <v>20.0</v>
      </c>
    </row>
    <row r="26" hidden="1">
      <c r="A26" s="272">
        <v>86.0</v>
      </c>
      <c r="B26" s="272">
        <v>86.0</v>
      </c>
      <c r="C26" s="260">
        <v>20.0</v>
      </c>
      <c r="D26" s="273" t="str">
        <f>IFERROR(__xludf.DUMMYFUNCTION("if(B26&lt;=999,if(B26&lt;=99,IF(B26&lt;=9,join(,""000"",B26),join(,""00"",B26)),join(,""0"",B26)),B26)"),"0086")</f>
        <v>0086</v>
      </c>
      <c r="E26" s="274" t="s">
        <v>88</v>
      </c>
      <c r="F26" s="263" t="str">
        <f>vlookup(B26,'Geotagging Master All-Training '!$A$2:$C$2474,2,false)</f>
        <v>#N/A</v>
      </c>
      <c r="G26" s="263" t="str">
        <f>vlookup(B26,'Geotagging Master All-Training '!$A$2:$C$2474,3,false)</f>
        <v>#N/A</v>
      </c>
      <c r="H26" s="276" t="s">
        <v>20</v>
      </c>
      <c r="I26" s="277" t="e">
        <v>#N/A</v>
      </c>
    </row>
    <row r="27" hidden="1">
      <c r="A27" s="272">
        <v>59.0</v>
      </c>
      <c r="B27" s="272">
        <v>59.0</v>
      </c>
      <c r="C27" s="273">
        <v>21.0</v>
      </c>
      <c r="D27" s="273" t="str">
        <f>IFERROR(__xludf.DUMMYFUNCTION("if(B27&lt;=999,if(B27&lt;=99,IF(B27&lt;=9,join(,""000"",B27),join(,""00"",B27)),join(,""0"",B27)),B27)"),"0059")</f>
        <v>0059</v>
      </c>
      <c r="E27" s="304" t="s">
        <v>90</v>
      </c>
      <c r="F27" s="303" t="str">
        <f>vlookup(B27,'Geotagging Master All-Training '!$A$2:$C$2474,2,false)</f>
        <v>#N/A</v>
      </c>
      <c r="G27" s="303" t="str">
        <f>vlookup(B27,'Geotagging Master All-Training '!$A$2:$C$2474,3,false)</f>
        <v>#N/A</v>
      </c>
      <c r="H27" s="276" t="s">
        <v>20</v>
      </c>
      <c r="I27" s="277" t="e">
        <v>#N/A</v>
      </c>
    </row>
    <row r="28" hidden="1">
      <c r="A28" s="258">
        <v>466.0</v>
      </c>
      <c r="B28" s="258">
        <v>466.0</v>
      </c>
      <c r="C28" s="260">
        <v>22.0</v>
      </c>
      <c r="D28" s="260" t="str">
        <f>IFERROR(__xludf.DUMMYFUNCTION("if(B28&lt;=999,if(B28&lt;=99,IF(B28&lt;=9,join(,""000"",B28),join(,""00"",B28)),join(,""0"",B28)),B28)"),"0466")</f>
        <v>0466</v>
      </c>
      <c r="E28" s="270" t="s">
        <v>91</v>
      </c>
      <c r="F28" s="263" t="str">
        <f>vlookup(B28,'Geotagging Master All-Training '!$A$2:$C$2474,2,false)</f>
        <v>#N/A</v>
      </c>
      <c r="G28" s="263" t="str">
        <f>vlookup(B28,'Geotagging Master All-Training '!$A$2:$C$2474,3,false)</f>
        <v>#N/A</v>
      </c>
      <c r="H28" s="265" t="s">
        <v>20</v>
      </c>
      <c r="I28" s="266">
        <v>80.0</v>
      </c>
    </row>
    <row r="29" hidden="1">
      <c r="A29" s="258">
        <v>46.0</v>
      </c>
      <c r="B29" s="258">
        <v>46.0</v>
      </c>
      <c r="C29" s="260">
        <v>23.0</v>
      </c>
      <c r="D29" s="260" t="str">
        <f>IFERROR(__xludf.DUMMYFUNCTION("if(B29&lt;=999,if(B29&lt;=99,IF(B29&lt;=9,join(,""000"",B29),join(,""00"",B29)),join(,""0"",B29)),B29)"),"0046")</f>
        <v>0046</v>
      </c>
      <c r="E29" s="270" t="s">
        <v>92</v>
      </c>
      <c r="F29" s="263" t="str">
        <f>vlookup(B29,'Geotagging Master All-Training '!$A$2:$C$2474,2,false)</f>
        <v>#N/A</v>
      </c>
      <c r="G29" s="263" t="str">
        <f>vlookup(B29,'Geotagging Master All-Training '!$A$2:$C$2474,3,false)</f>
        <v>#N/A</v>
      </c>
      <c r="H29" s="265" t="s">
        <v>20</v>
      </c>
      <c r="I29" s="266"/>
    </row>
    <row r="30" hidden="1">
      <c r="A30" s="305">
        <v>1088.0</v>
      </c>
      <c r="B30" s="305">
        <v>1088.0</v>
      </c>
      <c r="C30" s="260">
        <v>24.0</v>
      </c>
      <c r="D30" s="306">
        <f>IFERROR(__xludf.DUMMYFUNCTION("if(B30&lt;=999,if(B30&lt;=99,IF(B30&lt;=9,join(,""000"",B30),join(,""00"",B30)),join(,""0"",B30)),B30)"),1088.0)</f>
        <v>1088</v>
      </c>
      <c r="E30" s="307" t="s">
        <v>94</v>
      </c>
      <c r="F30" s="263" t="str">
        <f>vlookup(B30,'Geotagging Master All-Training '!$A$2:$C$2474,2,false)</f>
        <v>#N/A</v>
      </c>
      <c r="G30" s="263" t="str">
        <f>vlookup(B30,'Geotagging Master All-Training '!$A$2:$C$2474,3,false)</f>
        <v>#N/A</v>
      </c>
      <c r="H30" s="308" t="s">
        <v>20</v>
      </c>
      <c r="I30" s="268">
        <v>8181.0</v>
      </c>
    </row>
    <row r="31" hidden="1">
      <c r="A31" s="258">
        <v>347.0</v>
      </c>
      <c r="B31" s="258">
        <v>347.0</v>
      </c>
      <c r="C31" s="260">
        <v>25.0</v>
      </c>
      <c r="D31" s="260" t="str">
        <f>IFERROR(__xludf.DUMMYFUNCTION("if(B31&lt;=999,if(B31&lt;=99,IF(B31&lt;=9,join(,""000"",B31),join(,""00"",B31)),join(,""0"",B31)),B31)"),"0347")</f>
        <v>0347</v>
      </c>
      <c r="E31" s="270" t="s">
        <v>98</v>
      </c>
      <c r="F31" s="263" t="str">
        <f>vlookup(B31,'Geotagging Master All-Training '!$A$2:$C$2474,2,false)</f>
        <v>#N/A</v>
      </c>
      <c r="G31" s="263" t="str">
        <f>vlookup(B31,'Geotagging Master All-Training '!$A$2:$C$2474,3,false)</f>
        <v>#N/A</v>
      </c>
      <c r="H31" s="265" t="s">
        <v>20</v>
      </c>
      <c r="I31" s="266">
        <v>554.0</v>
      </c>
    </row>
    <row r="32" hidden="1">
      <c r="A32" s="258">
        <v>686.0</v>
      </c>
      <c r="B32" s="258">
        <v>686.0</v>
      </c>
      <c r="C32" s="260">
        <v>26.0</v>
      </c>
      <c r="D32" s="260" t="str">
        <f>IFERROR(__xludf.DUMMYFUNCTION("if(B32&lt;=999,if(B32&lt;=99,IF(B32&lt;=9,join(,""000"",B32),join(,""00"",B32)),join(,""0"",B32)),B32)"),"0686")</f>
        <v>0686</v>
      </c>
      <c r="E32" s="270" t="s">
        <v>831</v>
      </c>
      <c r="F32" s="263" t="str">
        <f>vlookup(B32,'Geotagging Master All-Training '!$A$2:$C$2474,2,false)</f>
        <v>#N/A</v>
      </c>
      <c r="G32" s="263" t="str">
        <f>vlookup(B32,'Geotagging Master All-Training '!$A$2:$C$2474,3,false)</f>
        <v>#N/A</v>
      </c>
      <c r="H32" s="265" t="s">
        <v>20</v>
      </c>
      <c r="I32" s="266">
        <v>25001.0</v>
      </c>
    </row>
    <row r="33" hidden="1">
      <c r="A33" s="258">
        <v>232.0</v>
      </c>
      <c r="B33" s="259">
        <v>232.0</v>
      </c>
      <c r="C33" s="260">
        <v>27.0</v>
      </c>
      <c r="D33" s="260" t="str">
        <f>IFERROR(__xludf.DUMMYFUNCTION("if(B33&lt;=999,if(B33&lt;=99,IF(B33&lt;=9,join(,""000"",B33),join(,""00"",B33)),join(,""0"",B33)),B33)"),"0232")</f>
        <v>0232</v>
      </c>
      <c r="E33" s="262" t="s">
        <v>105</v>
      </c>
      <c r="F33" s="263" t="str">
        <f>vlookup(B33,'Geotagging Master All-Training '!$A$2:$C$2474,2,false)</f>
        <v>#N/A</v>
      </c>
      <c r="G33" s="263" t="str">
        <f>vlookup(B33,'Geotagging Master All-Training '!$A$2:$C$2474,3,false)</f>
        <v>#N/A</v>
      </c>
      <c r="H33" s="265" t="s">
        <v>20</v>
      </c>
      <c r="I33" s="266" t="e">
        <v>#N/A</v>
      </c>
    </row>
    <row r="34" hidden="1">
      <c r="A34" s="258">
        <v>802.0</v>
      </c>
      <c r="B34" s="258">
        <v>802.0</v>
      </c>
      <c r="C34" s="260">
        <v>28.0</v>
      </c>
      <c r="D34" s="260" t="str">
        <f>IFERROR(__xludf.DUMMYFUNCTION("if(B34&lt;=999,if(B34&lt;=99,IF(B34&lt;=9,join(,""000"",B34),join(,""00"",B34)),join(,""0"",B34)),B34)"),"0802")</f>
        <v>0802</v>
      </c>
      <c r="E34" s="262" t="s">
        <v>107</v>
      </c>
      <c r="F34" s="263" t="str">
        <f>vlookup(B34,'Geotagging Master All-Training '!$A$2:$C$2474,2,false)</f>
        <v>#N/A</v>
      </c>
      <c r="G34" s="263" t="str">
        <f>vlookup(B34,'Geotagging Master All-Training '!$A$2:$C$2474,3,false)</f>
        <v>#N/A</v>
      </c>
      <c r="H34" s="265" t="s">
        <v>20</v>
      </c>
      <c r="I34" s="266" t="s">
        <v>108</v>
      </c>
    </row>
    <row r="35" hidden="1">
      <c r="A35" s="258">
        <v>1255.0</v>
      </c>
      <c r="B35" s="258">
        <v>1255.0</v>
      </c>
      <c r="C35" s="260">
        <v>29.0</v>
      </c>
      <c r="D35" s="260">
        <f>IFERROR(__xludf.DUMMYFUNCTION("if(B35&lt;=999,if(B35&lt;=99,IF(B35&lt;=9,join(,""000"",B35),join(,""00"",B35)),join(,""0"",B35)),B35)"),1255.0)</f>
        <v>1255</v>
      </c>
      <c r="E35" s="262" t="s">
        <v>109</v>
      </c>
      <c r="F35" s="263" t="str">
        <f>vlookup(B35,'Geotagging Master All-Training '!$A$2:$C$2474,2,false)</f>
        <v>#N/A</v>
      </c>
      <c r="G35" s="263" t="str">
        <f>vlookup(B35,'Geotagging Master All-Training '!$A$2:$C$2474,3,false)</f>
        <v>#N/A</v>
      </c>
      <c r="H35" s="265" t="s">
        <v>20</v>
      </c>
      <c r="I35" s="266">
        <v>16.0</v>
      </c>
    </row>
    <row r="36" hidden="1">
      <c r="A36" s="258">
        <v>1205.0</v>
      </c>
      <c r="B36" s="258">
        <v>1205.0</v>
      </c>
      <c r="C36" s="260">
        <v>30.0</v>
      </c>
      <c r="D36" s="260">
        <f>IFERROR(__xludf.DUMMYFUNCTION("if(B36&lt;=999,if(B36&lt;=99,IF(B36&lt;=9,join(,""000"",B36),join(,""00"",B36)),join(,""0"",B36)),B36)"),1205.0)</f>
        <v>1205</v>
      </c>
      <c r="E36" s="262" t="s">
        <v>111</v>
      </c>
      <c r="F36" s="263" t="str">
        <f>vlookup(B36,'Geotagging Master All-Training '!$A$2:$C$2474,2,false)</f>
        <v>#N/A</v>
      </c>
      <c r="G36" s="263" t="str">
        <f>vlookup(B36,'Geotagging Master All-Training '!$A$2:$C$2474,3,false)</f>
        <v>#N/A</v>
      </c>
      <c r="H36" s="265" t="s">
        <v>20</v>
      </c>
      <c r="I36" s="266">
        <v>16.0</v>
      </c>
    </row>
    <row r="37" hidden="1">
      <c r="A37" s="258">
        <v>1353.0</v>
      </c>
      <c r="B37" s="258">
        <v>1353.0</v>
      </c>
      <c r="C37" s="260">
        <v>31.0</v>
      </c>
      <c r="D37" s="260"/>
      <c r="E37" s="262" t="s">
        <v>112</v>
      </c>
      <c r="F37" s="263" t="str">
        <f>vlookup(B37,'Geotagging Master All-Training '!$A$2:$C$2474,2,false)</f>
        <v>#N/A</v>
      </c>
      <c r="G37" s="263" t="str">
        <f>vlookup(B37,'Geotagging Master All-Training '!$A$2:$C$2474,3,false)</f>
        <v>#N/A</v>
      </c>
      <c r="H37" s="265" t="s">
        <v>20</v>
      </c>
      <c r="I37" s="266">
        <v>80.0</v>
      </c>
    </row>
    <row r="38" hidden="1">
      <c r="A38" s="258">
        <v>757.0</v>
      </c>
      <c r="B38" s="258">
        <v>757.0</v>
      </c>
      <c r="C38" s="260">
        <v>33.0</v>
      </c>
      <c r="D38" s="260" t="str">
        <f>IFERROR(__xludf.DUMMYFUNCTION("if(B38&lt;=999,if(B38&lt;=99,IF(B38&lt;=9,join(,""000"",B38),join(,""00"",B38)),join(,""0"",B38)),B38)"),"0757")</f>
        <v>0757</v>
      </c>
      <c r="E38" s="270" t="s">
        <v>116</v>
      </c>
      <c r="F38" s="263" t="str">
        <f>vlookup(B38,'Geotagging Master All-Training '!$A$2:$C$2474,2,false)</f>
        <v>#N/A</v>
      </c>
      <c r="G38" s="263" t="str">
        <f>vlookup(B38,'Geotagging Master All-Training '!$A$2:$C$2474,3,false)</f>
        <v>#N/A</v>
      </c>
      <c r="H38" s="265" t="s">
        <v>20</v>
      </c>
      <c r="I38" s="266">
        <v>16.0</v>
      </c>
    </row>
    <row r="39" hidden="1">
      <c r="A39" s="258">
        <v>1376.0</v>
      </c>
      <c r="B39" s="258">
        <v>1376.0</v>
      </c>
      <c r="C39" s="260">
        <v>34.0</v>
      </c>
      <c r="D39" s="260">
        <f>IFERROR(__xludf.DUMMYFUNCTION("if(B39&lt;=999,if(B39&lt;=99,IF(B39&lt;=9,join(,""000"",B39),join(,""00"",B39)),join(,""0"",B39)),B39)"),1376.0)</f>
        <v>1376</v>
      </c>
      <c r="E39" s="262" t="s">
        <v>118</v>
      </c>
      <c r="F39" s="263" t="str">
        <f>vlookup(B39,'Geotagging Master All-Training '!$A$2:$C$2474,2,false)</f>
        <v>#N/A</v>
      </c>
      <c r="G39" s="263" t="str">
        <f>vlookup(B39,'Geotagging Master All-Training '!$A$2:$C$2474,3,false)</f>
        <v>#N/A</v>
      </c>
      <c r="H39" s="265" t="s">
        <v>20</v>
      </c>
      <c r="I39" s="266">
        <v>80.0</v>
      </c>
    </row>
    <row r="40" hidden="1">
      <c r="A40" s="272">
        <v>1018.0</v>
      </c>
      <c r="B40" s="272">
        <v>1018.0</v>
      </c>
      <c r="C40" s="260">
        <v>35.0</v>
      </c>
      <c r="D40" s="273">
        <f>IFERROR(__xludf.DUMMYFUNCTION("if(B40&lt;=999,if(B40&lt;=99,IF(B40&lt;=9,join(,""000"",B40),join(,""00"",B40)),join(,""0"",B40)),B40)"),1018.0)</f>
        <v>1018</v>
      </c>
      <c r="E40" s="274" t="s">
        <v>120</v>
      </c>
      <c r="F40" s="263" t="str">
        <f>vlookup(B40,'Geotagging Master All-Training '!$A$2:$C$2474,2,false)</f>
        <v>#N/A</v>
      </c>
      <c r="G40" s="263" t="str">
        <f>vlookup(B40,'Geotagging Master All-Training '!$A$2:$C$2474,3,false)</f>
        <v>#N/A</v>
      </c>
      <c r="H40" s="276" t="s">
        <v>20</v>
      </c>
      <c r="I40" s="277" t="s">
        <v>123</v>
      </c>
    </row>
    <row r="41" hidden="1">
      <c r="A41" s="258">
        <v>287.0</v>
      </c>
      <c r="B41" s="259">
        <v>287.0</v>
      </c>
      <c r="C41" s="260">
        <v>36.0</v>
      </c>
      <c r="D41" s="260" t="str">
        <f>IFERROR(__xludf.DUMMYFUNCTION("if(B41&lt;=999,if(B41&lt;=99,IF(B41&lt;=9,join(,""000"",B41),join(,""00"",B41)),join(,""0"",B41)),B41)"),"0287")</f>
        <v>0287</v>
      </c>
      <c r="E41" s="262" t="s">
        <v>125</v>
      </c>
      <c r="F41" s="263" t="str">
        <f>vlookup(B41,'Geotagging Master All-Training '!$A$2:$C$2474,2,false)</f>
        <v>#N/A</v>
      </c>
      <c r="G41" s="263" t="str">
        <f>vlookup(B41,'Geotagging Master All-Training '!$A$2:$C$2474,3,false)</f>
        <v>#N/A</v>
      </c>
      <c r="H41" s="265" t="s">
        <v>20</v>
      </c>
      <c r="I41" s="266">
        <v>25001.0</v>
      </c>
    </row>
    <row r="42" hidden="1">
      <c r="A42" s="258">
        <v>1414.0</v>
      </c>
      <c r="B42" s="259">
        <v>1414.0</v>
      </c>
      <c r="C42" s="260">
        <v>37.0</v>
      </c>
      <c r="D42" s="260">
        <f>IFERROR(__xludf.DUMMYFUNCTION("if(B42&lt;=999,if(B42&lt;=99,IF(B42&lt;=9,join(,""000"",B42),join(,""00"",B42)),join(,""0"",B42)),B42)"),1414.0)</f>
        <v>1414</v>
      </c>
      <c r="E42" s="270" t="s">
        <v>127</v>
      </c>
      <c r="F42" s="263" t="str">
        <f>vlookup(B42,'Geotagging Master All-Training '!$A$2:$C$2474,2,false)</f>
        <v>#N/A</v>
      </c>
      <c r="G42" s="263" t="str">
        <f>vlookup(B42,'Geotagging Master All-Training '!$A$2:$C$2474,3,false)</f>
        <v>#N/A</v>
      </c>
      <c r="H42" s="265" t="s">
        <v>20</v>
      </c>
      <c r="I42" s="266">
        <v>8080.0</v>
      </c>
    </row>
    <row r="43" hidden="1">
      <c r="A43" s="258">
        <v>1430.0</v>
      </c>
      <c r="B43" s="259">
        <v>1430.0</v>
      </c>
      <c r="C43" s="260">
        <v>38.0</v>
      </c>
      <c r="D43" s="260">
        <f>IFERROR(__xludf.DUMMYFUNCTION("if(B43&lt;=999,if(B43&lt;=99,IF(B43&lt;=9,join(,""000"",B43),join(,""00"",B43)),join(,""0"",B43)),B43)"),1430.0)</f>
        <v>1430</v>
      </c>
      <c r="E43" s="262" t="s">
        <v>131</v>
      </c>
      <c r="F43" s="263" t="str">
        <f>vlookup(B43,'Geotagging Master All-Training '!$A$2:$C$2474,2,false)</f>
        <v>#N/A</v>
      </c>
      <c r="G43" s="263" t="str">
        <f>vlookup(B43,'Geotagging Master All-Training '!$A$2:$C$2474,3,false)</f>
        <v>#N/A</v>
      </c>
      <c r="H43" s="265" t="s">
        <v>20</v>
      </c>
      <c r="I43" s="266">
        <v>16.0</v>
      </c>
    </row>
    <row r="44" hidden="1">
      <c r="A44" s="258">
        <v>1418.0</v>
      </c>
      <c r="B44" s="258">
        <v>1418.0</v>
      </c>
      <c r="C44" s="260">
        <v>39.0</v>
      </c>
      <c r="D44" s="260">
        <f>IFERROR(__xludf.DUMMYFUNCTION("if(B44&lt;=999,if(B44&lt;=99,IF(B44&lt;=9,join(,""000"",B44),join(,""00"",B44)),join(,""0"",B44)),B44)"),1418.0)</f>
        <v>1418</v>
      </c>
      <c r="E44" s="262" t="s">
        <v>132</v>
      </c>
      <c r="F44" s="263" t="str">
        <f>vlookup(B44,'Geotagging Master All-Training '!$A$2:$C$2474,2,false)</f>
        <v>#N/A</v>
      </c>
      <c r="G44" s="263" t="str">
        <f>vlookup(B44,'Geotagging Master All-Training '!$A$2:$C$2474,3,false)</f>
        <v>#N/A</v>
      </c>
      <c r="H44" s="265" t="s">
        <v>20</v>
      </c>
      <c r="I44" s="266">
        <v>16.0</v>
      </c>
    </row>
    <row r="45" hidden="1">
      <c r="A45" s="258">
        <v>1254.0</v>
      </c>
      <c r="B45" s="258">
        <v>1254.0</v>
      </c>
      <c r="C45" s="260">
        <v>40.0</v>
      </c>
      <c r="D45" s="260">
        <f>IFERROR(__xludf.DUMMYFUNCTION("if(B45&lt;=999,if(B45&lt;=99,IF(B45&lt;=9,join(,""000"",B45),join(,""00"",B45)),join(,""0"",B45)),B45)"),1254.0)</f>
        <v>1254</v>
      </c>
      <c r="E45" s="262" t="s">
        <v>135</v>
      </c>
      <c r="F45" s="263" t="str">
        <f>vlookup(B45,'Geotagging Master All-Training '!$A$2:$C$2474,2,false)</f>
        <v>#N/A</v>
      </c>
      <c r="G45" s="263" t="str">
        <f>vlookup(B45,'Geotagging Master All-Training '!$A$2:$C$2474,3,false)</f>
        <v>#N/A</v>
      </c>
      <c r="H45" s="265" t="s">
        <v>20</v>
      </c>
      <c r="I45" s="266">
        <v>80.0</v>
      </c>
    </row>
    <row r="46" hidden="1">
      <c r="A46" s="258">
        <v>1098.0</v>
      </c>
      <c r="B46" s="259">
        <v>1098.0</v>
      </c>
      <c r="C46" s="260">
        <v>41.0</v>
      </c>
      <c r="D46" s="260">
        <f>IFERROR(__xludf.DUMMYFUNCTION("if(B46&lt;=999,if(B46&lt;=99,IF(B46&lt;=9,join(,""000"",B46),join(,""00"",B46)),join(,""0"",B46)),B46)"),1098.0)</f>
        <v>1098</v>
      </c>
      <c r="E46" s="262" t="s">
        <v>136</v>
      </c>
      <c r="F46" s="263" t="str">
        <f>vlookup(B46,'Geotagging Master All-Training '!$A$2:$C$2474,2,false)</f>
        <v>#N/A</v>
      </c>
      <c r="G46" s="263" t="str">
        <f>vlookup(B46,'Geotagging Master All-Training '!$A$2:$C$2474,3,false)</f>
        <v>#N/A</v>
      </c>
      <c r="H46" s="265" t="s">
        <v>20</v>
      </c>
      <c r="I46" s="266" t="s">
        <v>139</v>
      </c>
    </row>
    <row r="47" hidden="1">
      <c r="A47" s="258">
        <v>1024.0</v>
      </c>
      <c r="B47" s="258">
        <v>1024.0</v>
      </c>
      <c r="C47" s="260">
        <v>42.0</v>
      </c>
      <c r="D47" s="260">
        <f>IFERROR(__xludf.DUMMYFUNCTION("if(B47&lt;=999,if(B47&lt;=99,IF(B47&lt;=9,join(,""000"",B47),join(,""00"",B47)),join(,""0"",B47)),B47)"),1024.0)</f>
        <v>1024</v>
      </c>
      <c r="E47" s="270" t="s">
        <v>140</v>
      </c>
      <c r="F47" s="263" t="str">
        <f>vlookup(B47,'Geotagging Master All-Training '!$A$2:$C$2474,2,false)</f>
        <v>#N/A</v>
      </c>
      <c r="G47" s="263" t="str">
        <f>vlookup(B47,'Geotagging Master All-Training '!$A$2:$C$2474,3,false)</f>
        <v>#N/A</v>
      </c>
      <c r="H47" s="265" t="s">
        <v>20</v>
      </c>
      <c r="I47" s="266">
        <v>5005.0</v>
      </c>
    </row>
    <row r="48" hidden="1">
      <c r="A48" s="258">
        <v>344.0</v>
      </c>
      <c r="B48" s="258">
        <v>344.0</v>
      </c>
      <c r="C48" s="260">
        <v>43.0</v>
      </c>
      <c r="D48" s="260" t="str">
        <f>IFERROR(__xludf.DUMMYFUNCTION("if(B48&lt;=999,if(B48&lt;=99,IF(B48&lt;=9,join(,""000"",B48),join(,""00"",B48)),join(,""0"",B48)),B48)"),"0344")</f>
        <v>0344</v>
      </c>
      <c r="E48" s="262" t="s">
        <v>141</v>
      </c>
      <c r="F48" s="263" t="str">
        <f>vlookup(B48,'Geotagging Master All-Training '!$A$2:$C$2474,2,false)</f>
        <v>#N/A</v>
      </c>
      <c r="G48" s="263" t="str">
        <f>vlookup(B48,'Geotagging Master All-Training '!$A$2:$C$2474,3,false)</f>
        <v>#N/A</v>
      </c>
      <c r="H48" s="265" t="s">
        <v>20</v>
      </c>
      <c r="I48" s="266" t="e">
        <v>#N/A</v>
      </c>
    </row>
    <row r="49" hidden="1">
      <c r="A49" s="272">
        <v>1194.0</v>
      </c>
      <c r="B49" s="272">
        <v>1194.0</v>
      </c>
      <c r="C49" s="260">
        <v>44.0</v>
      </c>
      <c r="D49" s="273">
        <f>IFERROR(__xludf.DUMMYFUNCTION("if(B49&lt;=999,if(B49&lt;=99,IF(B49&lt;=9,join(,""000"",B49),join(,""00"",B49)),join(,""0"",B49)),B49)"),1194.0)</f>
        <v>1194</v>
      </c>
      <c r="E49" s="274" t="s">
        <v>142</v>
      </c>
      <c r="F49" s="263" t="str">
        <f>vlookup(B49,'Geotagging Master All-Training '!$A$2:$C$2474,2,false)</f>
        <v>#N/A</v>
      </c>
      <c r="G49" s="263" t="str">
        <f>vlookup(B49,'Geotagging Master All-Training '!$A$2:$C$2474,3,false)</f>
        <v>#N/A</v>
      </c>
      <c r="H49" s="276" t="s">
        <v>20</v>
      </c>
      <c r="I49" s="277">
        <v>37777.0</v>
      </c>
    </row>
    <row r="50" hidden="1">
      <c r="A50" s="258">
        <v>1398.0</v>
      </c>
      <c r="B50" s="258">
        <v>1398.0</v>
      </c>
      <c r="C50" s="260">
        <v>45.0</v>
      </c>
      <c r="D50" s="260">
        <f>IFERROR(__xludf.DUMMYFUNCTION("if(B50&lt;=999,if(B50&lt;=99,IF(B50&lt;=9,join(,""000"",B50),join(,""00"",B50)),join(,""0"",B50)),B50)"),1398.0)</f>
        <v>1398</v>
      </c>
      <c r="E50" s="270" t="s">
        <v>145</v>
      </c>
      <c r="F50" s="263" t="str">
        <f>vlookup(B50,'Geotagging Master All-Training '!$A$2:$C$2474,2,false)</f>
        <v>#N/A</v>
      </c>
      <c r="G50" s="263" t="str">
        <f>vlookup(B50,'Geotagging Master All-Training '!$A$2:$C$2474,3,false)</f>
        <v>#N/A</v>
      </c>
      <c r="H50" s="265" t="s">
        <v>20</v>
      </c>
      <c r="I50" s="266">
        <v>34567.0</v>
      </c>
    </row>
    <row r="51" hidden="1">
      <c r="A51" s="258">
        <v>1155.0</v>
      </c>
      <c r="B51" s="259">
        <v>1155.0</v>
      </c>
      <c r="C51" s="260">
        <v>46.0</v>
      </c>
      <c r="D51" s="260">
        <f>IFERROR(__xludf.DUMMYFUNCTION("if(B51&lt;=999,if(B51&lt;=99,IF(B51&lt;=9,join(,""000"",B51),join(,""00"",B51)),join(,""0"",B51)),B51)"),1155.0)</f>
        <v>1155</v>
      </c>
      <c r="E51" s="262" t="s">
        <v>147</v>
      </c>
      <c r="F51" s="263" t="str">
        <f>vlookup(B51,'Geotagging Master All-Training '!$A$2:$C$2474,2,false)</f>
        <v>#N/A</v>
      </c>
      <c r="G51" s="263" t="str">
        <f>vlookup(B51,'Geotagging Master All-Training '!$A$2:$C$2474,3,false)</f>
        <v>#N/A</v>
      </c>
      <c r="H51" s="265" t="s">
        <v>20</v>
      </c>
      <c r="I51" s="266" t="e">
        <v>#N/A</v>
      </c>
    </row>
    <row r="52">
      <c r="A52" s="272">
        <v>72.0</v>
      </c>
      <c r="B52" s="272">
        <v>72.0</v>
      </c>
      <c r="C52" s="273">
        <v>2.0</v>
      </c>
      <c r="D52" s="273"/>
      <c r="E52" s="304"/>
      <c r="F52" s="303"/>
      <c r="G52" s="303"/>
      <c r="H52" s="276"/>
      <c r="I52" s="277" t="e">
        <v>#N/A</v>
      </c>
    </row>
    <row r="53" hidden="1">
      <c r="A53" s="258">
        <v>1038.0</v>
      </c>
      <c r="B53" s="259">
        <v>1038.0</v>
      </c>
      <c r="C53" s="260">
        <v>48.0</v>
      </c>
      <c r="D53" s="260">
        <f>IFERROR(__xludf.DUMMYFUNCTION("if(B53&lt;=999,if(B53&lt;=99,IF(B53&lt;=9,join(,""000"",B53),join(,""00"",B53)),join(,""0"",B53)),B53)"),1038.0)</f>
        <v>1038</v>
      </c>
      <c r="E53" s="262" t="s">
        <v>153</v>
      </c>
      <c r="F53" s="263" t="str">
        <f>vlookup(B53,'Geotagging Master All-Training '!$A$2:$C$2474,2,false)</f>
        <v>#N/A</v>
      </c>
      <c r="G53" s="263" t="str">
        <f>vlookup(B53,'Geotagging Master All-Training '!$A$2:$C$2474,3,false)</f>
        <v>#N/A</v>
      </c>
      <c r="H53" s="265" t="s">
        <v>20</v>
      </c>
      <c r="I53" s="266">
        <v>16.0</v>
      </c>
    </row>
    <row r="54" hidden="1">
      <c r="A54" s="258">
        <v>519.0</v>
      </c>
      <c r="B54" s="258">
        <v>519.0</v>
      </c>
      <c r="C54" s="260">
        <v>49.0</v>
      </c>
      <c r="D54" s="260" t="str">
        <f>IFERROR(__xludf.DUMMYFUNCTION("if(B54&lt;=999,if(B54&lt;=99,IF(B54&lt;=9,join(,""000"",B54),join(,""00"",B54)),join(,""0"",B54)),B54)"),"0519")</f>
        <v>0519</v>
      </c>
      <c r="E54" s="270" t="s">
        <v>155</v>
      </c>
      <c r="F54" s="263" t="str">
        <f>vlookup(B54,'Geotagging Master All-Training '!$A$2:$C$2474,2,false)</f>
        <v>#N/A</v>
      </c>
      <c r="G54" s="263" t="str">
        <f>vlookup(B54,'Geotagging Master All-Training '!$A$2:$C$2474,3,false)</f>
        <v>#N/A</v>
      </c>
      <c r="H54" s="265" t="s">
        <v>20</v>
      </c>
      <c r="I54" s="266" t="s">
        <v>157</v>
      </c>
    </row>
    <row r="55" hidden="1">
      <c r="A55" s="258">
        <v>747.0</v>
      </c>
      <c r="B55" s="258">
        <v>747.0</v>
      </c>
      <c r="C55" s="260">
        <v>50.0</v>
      </c>
      <c r="D55" s="260" t="str">
        <f>IFERROR(__xludf.DUMMYFUNCTION("if(B55&lt;=999,if(B55&lt;=99,IF(B55&lt;=9,join(,""000"",B55),join(,""00"",B55)),join(,""0"",B55)),B55)"),"0747")</f>
        <v>0747</v>
      </c>
      <c r="E55" s="270" t="s">
        <v>160</v>
      </c>
      <c r="F55" s="263" t="str">
        <f>vlookup(B55,'Geotagging Master All-Training '!$A$2:$C$2474,2,false)</f>
        <v>#N/A</v>
      </c>
      <c r="G55" s="263" t="str">
        <f>vlookup(B55,'Geotagging Master All-Training '!$A$2:$C$2474,3,false)</f>
        <v>#N/A</v>
      </c>
      <c r="H55" s="265" t="s">
        <v>20</v>
      </c>
      <c r="I55" s="266" t="s">
        <v>157</v>
      </c>
    </row>
    <row r="56" hidden="1">
      <c r="A56" s="258">
        <v>649.0</v>
      </c>
      <c r="B56" s="259">
        <v>649.0</v>
      </c>
      <c r="C56" s="260">
        <v>51.0</v>
      </c>
      <c r="D56" s="260" t="str">
        <f>IFERROR(__xludf.DUMMYFUNCTION("if(B56&lt;=999,if(B56&lt;=99,IF(B56&lt;=9,join(,""000"",B56),join(,""00"",B56)),join(,""0"",B56)),B56)"),"0649")</f>
        <v>0649</v>
      </c>
      <c r="E56" s="262" t="s">
        <v>161</v>
      </c>
      <c r="F56" s="263" t="str">
        <f>vlookup(B56,'Geotagging Master All-Training '!$A$2:$C$2474,2,false)</f>
        <v>#N/A</v>
      </c>
      <c r="G56" s="263" t="str">
        <f>vlookup(B56,'Geotagging Master All-Training '!$A$2:$C$2474,3,false)</f>
        <v>#N/A</v>
      </c>
      <c r="H56" s="265" t="s">
        <v>20</v>
      </c>
      <c r="I56" s="309" t="s">
        <v>25</v>
      </c>
    </row>
    <row r="57" hidden="1">
      <c r="A57" s="258">
        <v>412.0</v>
      </c>
      <c r="B57" s="258">
        <v>412.0</v>
      </c>
      <c r="C57" s="260">
        <v>52.0</v>
      </c>
      <c r="D57" s="260" t="str">
        <f>IFERROR(__xludf.DUMMYFUNCTION("if(B57&lt;=999,if(B57&lt;=99,IF(B57&lt;=9,join(,""000"",B57),join(,""00"",B57)),join(,""0"",B57)),B57)"),"0412")</f>
        <v>0412</v>
      </c>
      <c r="E57" s="262" t="s">
        <v>166</v>
      </c>
      <c r="F57" s="263" t="str">
        <f>vlookup(B57,'Geotagging Master All-Training '!$A$2:$C$2474,2,false)</f>
        <v>#N/A</v>
      </c>
      <c r="G57" s="263" t="str">
        <f>vlookup(B57,'Geotagging Master All-Training '!$A$2:$C$2474,3,false)</f>
        <v>#N/A</v>
      </c>
      <c r="H57" s="265" t="s">
        <v>20</v>
      </c>
      <c r="I57" s="309" t="s">
        <v>25</v>
      </c>
    </row>
    <row r="58" hidden="1">
      <c r="A58" s="258">
        <v>20.0</v>
      </c>
      <c r="B58" s="258">
        <v>20.0</v>
      </c>
      <c r="C58" s="260">
        <v>53.0</v>
      </c>
      <c r="D58" s="260" t="str">
        <f>IFERROR(__xludf.DUMMYFUNCTION("if(B58&lt;=999,if(B58&lt;=99,IF(B58&lt;=9,join(,""000"",B58),join(,""00"",B58)),join(,""0"",B58)),B58)"),"0020")</f>
        <v>0020</v>
      </c>
      <c r="E58" s="262" t="s">
        <v>164</v>
      </c>
      <c r="F58" s="263" t="str">
        <f>vlookup(B58,'Geotagging Master All-Training '!$A$2:$C$2474,2,false)</f>
        <v>#N/A</v>
      </c>
      <c r="G58" s="263" t="str">
        <f>vlookup(B58,'Geotagging Master All-Training '!$A$2:$C$2474,3,false)</f>
        <v>#N/A</v>
      </c>
      <c r="H58" s="265" t="s">
        <v>20</v>
      </c>
      <c r="I58" s="309" t="s">
        <v>25</v>
      </c>
    </row>
    <row r="59" hidden="1">
      <c r="A59" s="258">
        <v>363.0</v>
      </c>
      <c r="B59" s="259">
        <v>363.0</v>
      </c>
      <c r="C59" s="260">
        <v>54.0</v>
      </c>
      <c r="D59" s="260" t="str">
        <f>IFERROR(__xludf.DUMMYFUNCTION("if(B59&lt;=999,if(B59&lt;=99,IF(B59&lt;=9,join(,""000"",B59),join(,""00"",B59)),join(,""0"",B59)),B59)"),"0363")</f>
        <v>0363</v>
      </c>
      <c r="E59" s="262" t="s">
        <v>167</v>
      </c>
      <c r="F59" s="263" t="str">
        <f>vlookup(B59,'Geotagging Master All-Training '!$A$2:$C$2474,2,false)</f>
        <v>#N/A</v>
      </c>
      <c r="G59" s="263" t="str">
        <f>vlookup(B59,'Geotagging Master All-Training '!$A$2:$C$2474,3,false)</f>
        <v>#N/A</v>
      </c>
      <c r="H59" s="265" t="s">
        <v>20</v>
      </c>
      <c r="I59" s="309" t="s">
        <v>25</v>
      </c>
    </row>
    <row r="60" hidden="1">
      <c r="A60" s="258">
        <v>1141.0</v>
      </c>
      <c r="B60" s="258">
        <v>1141.0</v>
      </c>
      <c r="C60" s="260">
        <v>55.0</v>
      </c>
      <c r="D60" s="260">
        <f>IFERROR(__xludf.DUMMYFUNCTION("if(B60&lt;=999,if(B60&lt;=99,IF(B60&lt;=9,join(,""000"",B60),join(,""00"",B60)),join(,""0"",B60)),B60)"),1141.0)</f>
        <v>1141</v>
      </c>
      <c r="E60" s="270" t="s">
        <v>168</v>
      </c>
      <c r="F60" s="263" t="str">
        <f>vlookup(B60,'Geotagging Master All-Training '!$A$2:$C$2474,2,false)</f>
        <v>#N/A</v>
      </c>
      <c r="G60" s="263" t="str">
        <f>vlookup(B60,'Geotagging Master All-Training '!$A$2:$C$2474,3,false)</f>
        <v>#N/A</v>
      </c>
      <c r="H60" s="265" t="s">
        <v>20</v>
      </c>
      <c r="I60" s="266" t="s">
        <v>171</v>
      </c>
    </row>
    <row r="61" ht="20.25" hidden="1" customHeight="1">
      <c r="A61" s="258">
        <v>746.0</v>
      </c>
      <c r="B61" s="258">
        <v>746.0</v>
      </c>
      <c r="C61" s="260">
        <v>56.0</v>
      </c>
      <c r="D61" s="260" t="str">
        <f>IFERROR(__xludf.DUMMYFUNCTION("if(B61&lt;=999,if(B61&lt;=99,IF(B61&lt;=9,join(,""000"",B61),join(,""00"",B61)),join(,""0"",B61)),B61)"),"0746")</f>
        <v>0746</v>
      </c>
      <c r="E61" s="270" t="s">
        <v>170</v>
      </c>
      <c r="F61" s="263" t="str">
        <f>vlookup(B61,'Geotagging Master All-Training '!$A$2:$C$2474,2,false)</f>
        <v>#N/A</v>
      </c>
      <c r="G61" s="263" t="str">
        <f>vlookup(B61,'Geotagging Master All-Training '!$A$2:$C$2474,3,false)</f>
        <v>#N/A</v>
      </c>
      <c r="H61" s="265" t="s">
        <v>20</v>
      </c>
      <c r="I61" s="266" t="s">
        <v>171</v>
      </c>
    </row>
    <row r="62" hidden="1">
      <c r="A62" s="258">
        <v>1209.0</v>
      </c>
      <c r="B62" s="258">
        <v>1209.0</v>
      </c>
      <c r="C62" s="260">
        <v>57.0</v>
      </c>
      <c r="D62" s="260">
        <f>IFERROR(__xludf.DUMMYFUNCTION("if(B62&lt;=999,if(B62&lt;=99,IF(B62&lt;=9,join(,""000"",B62),join(,""00"",B62)),join(,""0"",B62)),B62)"),1209.0)</f>
        <v>1209</v>
      </c>
      <c r="E62" s="262" t="s">
        <v>172</v>
      </c>
      <c r="F62" s="263" t="str">
        <f>vlookup(B62,'Geotagging Master All-Training '!$A$2:$C$2474,2,false)</f>
        <v>#N/A</v>
      </c>
      <c r="G62" s="263" t="str">
        <f>vlookup(B62,'Geotagging Master All-Training '!$A$2:$C$2474,3,false)</f>
        <v>#N/A</v>
      </c>
      <c r="H62" s="265" t="s">
        <v>20</v>
      </c>
      <c r="I62" s="266"/>
    </row>
    <row r="63" hidden="1">
      <c r="A63" s="258">
        <v>398.0</v>
      </c>
      <c r="B63" s="259">
        <v>398.0</v>
      </c>
      <c r="C63" s="260">
        <v>58.0</v>
      </c>
      <c r="D63" s="260" t="str">
        <f>IFERROR(__xludf.DUMMYFUNCTION("if(B63&lt;=999,if(B63&lt;=99,IF(B63&lt;=9,join(,""000"",B63),join(,""00"",B63)),join(,""0"",B63)),B63)"),"0398")</f>
        <v>0398</v>
      </c>
      <c r="E63" s="270" t="s">
        <v>174</v>
      </c>
      <c r="F63" s="263" t="str">
        <f>vlookup(B63,'Geotagging Master All-Training '!$A$2:$C$2474,2,false)</f>
        <v>#N/A</v>
      </c>
      <c r="G63" s="263" t="str">
        <f>vlookup(B63,'Geotagging Master All-Training '!$A$2:$C$2474,3,false)</f>
        <v>#N/A</v>
      </c>
      <c r="H63" s="265" t="s">
        <v>20</v>
      </c>
      <c r="I63" s="266" t="e">
        <v>#N/A</v>
      </c>
    </row>
    <row r="64" hidden="1">
      <c r="A64" s="258">
        <v>1036.0</v>
      </c>
      <c r="B64" s="258">
        <v>1036.0</v>
      </c>
      <c r="C64" s="260">
        <v>59.0</v>
      </c>
      <c r="D64" s="260">
        <f>IFERROR(__xludf.DUMMYFUNCTION("if(B64&lt;=999,if(B64&lt;=99,IF(B64&lt;=9,join(,""000"",B64),join(,""00"",B64)),join(,""0"",B64)),B64)"),1036.0)</f>
        <v>1036</v>
      </c>
      <c r="E64" s="270" t="s">
        <v>175</v>
      </c>
      <c r="F64" s="263" t="str">
        <f>vlookup(B64,'Geotagging Master All-Training '!$A$2:$C$2474,2,false)</f>
        <v>#N/A</v>
      </c>
      <c r="G64" s="263" t="str">
        <f>vlookup(B64,'Geotagging Master All-Training '!$A$2:$C$2474,3,false)</f>
        <v>#N/A</v>
      </c>
      <c r="H64" s="265" t="s">
        <v>20</v>
      </c>
      <c r="I64" s="266">
        <v>16.0</v>
      </c>
    </row>
    <row r="65" hidden="1">
      <c r="A65" s="258">
        <v>1107.0</v>
      </c>
      <c r="B65" s="259">
        <v>1107.0</v>
      </c>
      <c r="C65" s="260">
        <v>60.0</v>
      </c>
      <c r="D65" s="260">
        <f>IFERROR(__xludf.DUMMYFUNCTION("if(B65&lt;=999,if(B65&lt;=99,IF(B65&lt;=9,join(,""000"",B65),join(,""00"",B65)),join(,""0"",B65)),B65)"),1107.0)</f>
        <v>1107</v>
      </c>
      <c r="E65" s="270" t="s">
        <v>177</v>
      </c>
      <c r="F65" s="263" t="str">
        <f>vlookup(B65,'Geotagging Master All-Training '!$A$2:$C$2474,2,false)</f>
        <v>#N/A</v>
      </c>
      <c r="G65" s="263" t="str">
        <f>vlookup(B65,'Geotagging Master All-Training '!$A$2:$C$2474,3,false)</f>
        <v>#N/A</v>
      </c>
      <c r="H65" s="265" t="s">
        <v>20</v>
      </c>
      <c r="I65" s="266" t="s">
        <v>178</v>
      </c>
    </row>
    <row r="66" hidden="1">
      <c r="A66" s="258">
        <v>1294.0</v>
      </c>
      <c r="B66" s="258">
        <v>1294.0</v>
      </c>
      <c r="C66" s="260">
        <v>61.0</v>
      </c>
      <c r="D66" s="260">
        <f>IFERROR(__xludf.DUMMYFUNCTION("if(B66&lt;=999,if(B66&lt;=99,IF(B66&lt;=9,join(,""000"",B66),join(,""00"",B66)),join(,""0"",B66)),B66)"),1294.0)</f>
        <v>1294</v>
      </c>
      <c r="E66" s="262" t="s">
        <v>180</v>
      </c>
      <c r="F66" s="263" t="str">
        <f>vlookup(B66,'Geotagging Master All-Training '!$A$2:$C$2474,2,false)</f>
        <v>#N/A</v>
      </c>
      <c r="G66" s="263" t="str">
        <f>vlookup(B66,'Geotagging Master All-Training '!$A$2:$C$2474,3,false)</f>
        <v>#N/A</v>
      </c>
      <c r="H66" s="265" t="s">
        <v>20</v>
      </c>
      <c r="I66" s="266">
        <v>25001.0</v>
      </c>
    </row>
    <row r="67" hidden="1">
      <c r="A67" s="258">
        <v>1213.0</v>
      </c>
      <c r="B67" s="259">
        <v>1213.0</v>
      </c>
      <c r="C67" s="260">
        <v>62.0</v>
      </c>
      <c r="D67" s="260">
        <f>IFERROR(__xludf.DUMMYFUNCTION("if(B67&lt;=999,if(B67&lt;=99,IF(B67&lt;=9,join(,""000"",B67),join(,""00"",B67)),join(,""0"",B67)),B67)"),1213.0)</f>
        <v>1213</v>
      </c>
      <c r="E67" s="262" t="s">
        <v>183</v>
      </c>
      <c r="F67" s="263" t="str">
        <f>vlookup(B67,'Geotagging Master All-Training '!$A$2:$C$2474,2,false)</f>
        <v>#N/A</v>
      </c>
      <c r="G67" s="263" t="str">
        <f>vlookup(B67,'Geotagging Master All-Training '!$A$2:$C$2474,3,false)</f>
        <v>#N/A</v>
      </c>
      <c r="H67" s="265" t="s">
        <v>20</v>
      </c>
      <c r="I67" s="266">
        <v>25001.0</v>
      </c>
    </row>
    <row r="68">
      <c r="A68" s="272">
        <v>118.0</v>
      </c>
      <c r="B68" s="272">
        <v>118.0</v>
      </c>
      <c r="C68" s="273">
        <v>3.0</v>
      </c>
      <c r="D68" s="273"/>
      <c r="E68" s="304"/>
      <c r="F68" s="303"/>
      <c r="G68" s="303"/>
      <c r="H68" s="276"/>
      <c r="I68" s="277">
        <v>16.0</v>
      </c>
    </row>
    <row r="69" hidden="1">
      <c r="A69" s="258">
        <v>535.0</v>
      </c>
      <c r="B69" s="258">
        <v>535.0</v>
      </c>
      <c r="C69" s="260">
        <v>64.0</v>
      </c>
      <c r="D69" s="260" t="str">
        <f>IFERROR(__xludf.DUMMYFUNCTION("if(B69&lt;=999,if(B69&lt;=99,IF(B69&lt;=9,join(,""000"",B69),join(,""00"",B69)),join(,""0"",B69)),B69)"),"0535")</f>
        <v>0535</v>
      </c>
      <c r="E69" s="262" t="s">
        <v>185</v>
      </c>
      <c r="F69" s="263" t="str">
        <f>vlookup(B69,'Geotagging Master All-Training '!$A$2:$C$2474,2,false)</f>
        <v>#N/A</v>
      </c>
      <c r="G69" s="263" t="str">
        <f>vlookup(B69,'Geotagging Master All-Training '!$A$2:$C$2474,3,false)</f>
        <v>#N/A</v>
      </c>
      <c r="H69" s="265" t="s">
        <v>20</v>
      </c>
      <c r="I69" s="266" t="e">
        <v>#N/A</v>
      </c>
    </row>
    <row r="70" hidden="1">
      <c r="A70" s="258">
        <v>1311.0</v>
      </c>
      <c r="B70" s="258">
        <v>1311.0</v>
      </c>
      <c r="C70" s="260">
        <v>65.0</v>
      </c>
      <c r="D70" s="260">
        <f>IFERROR(__xludf.DUMMYFUNCTION("if(B70&lt;=999,if(B70&lt;=99,IF(B70&lt;=9,join(,""000"",B70),join(,""00"",B70)),join(,""0"",B70)),B70)"),1311.0)</f>
        <v>1311</v>
      </c>
      <c r="E70" s="270" t="s">
        <v>189</v>
      </c>
      <c r="F70" s="263" t="str">
        <f>vlookup(B70,'Geotagging Master All-Training '!$A$2:$C$2474,2,false)</f>
        <v>#N/A</v>
      </c>
      <c r="G70" s="263" t="str">
        <f>vlookup(B70,'Geotagging Master All-Training '!$A$2:$C$2474,3,false)</f>
        <v>#N/A</v>
      </c>
      <c r="H70" s="265" t="s">
        <v>20</v>
      </c>
      <c r="I70" s="266" t="s">
        <v>35</v>
      </c>
    </row>
    <row r="71" hidden="1">
      <c r="A71" s="258">
        <v>668.0</v>
      </c>
      <c r="B71" s="258">
        <v>668.0</v>
      </c>
      <c r="C71" s="260">
        <v>66.0</v>
      </c>
      <c r="D71" s="260" t="str">
        <f>IFERROR(__xludf.DUMMYFUNCTION("if(B71&lt;=999,if(B71&lt;=99,IF(B71&lt;=9,join(,""000"",B71),join(,""00"",B71)),join(,""0"",B71)),B71)"),"0668")</f>
        <v>0668</v>
      </c>
      <c r="E71" s="270" t="s">
        <v>193</v>
      </c>
      <c r="F71" s="263" t="str">
        <f>vlookup(B71,'Geotagging Master All-Training '!$A$2:$C$2474,2,false)</f>
        <v>#N/A</v>
      </c>
      <c r="G71" s="263" t="str">
        <f>vlookup(B71,'Geotagging Master All-Training '!$A$2:$C$2474,3,false)</f>
        <v>#N/A</v>
      </c>
      <c r="H71" s="265" t="s">
        <v>20</v>
      </c>
      <c r="I71" s="266">
        <v>16.0</v>
      </c>
    </row>
    <row r="72" hidden="1">
      <c r="A72" s="272">
        <v>1341.0</v>
      </c>
      <c r="B72" s="272">
        <v>1341.0</v>
      </c>
      <c r="C72" s="260">
        <v>67.0</v>
      </c>
      <c r="D72" s="273">
        <f>IFERROR(__xludf.DUMMYFUNCTION("if(B72&lt;=999,if(B72&lt;=99,IF(B72&lt;=9,join(,""000"",B72),join(,""00"",B72)),join(,""0"",B72)),B72)"),1341.0)</f>
        <v>1341</v>
      </c>
      <c r="E72" s="304" t="s">
        <v>194</v>
      </c>
      <c r="F72" s="263" t="str">
        <f>vlookup(B72,'Geotagging Master All-Training '!$A$2:$C$2474,2,false)</f>
        <v>#N/A</v>
      </c>
      <c r="G72" s="263" t="str">
        <f>vlookup(B72,'Geotagging Master All-Training '!$A$2:$C$2474,3,false)</f>
        <v>#N/A</v>
      </c>
      <c r="H72" s="276" t="s">
        <v>20</v>
      </c>
      <c r="I72" s="277" t="s">
        <v>197</v>
      </c>
    </row>
    <row r="73" hidden="1">
      <c r="A73" s="258">
        <v>1403.0</v>
      </c>
      <c r="B73" s="259">
        <v>1403.0</v>
      </c>
      <c r="C73" s="260">
        <v>68.0</v>
      </c>
      <c r="D73" s="260">
        <f>IFERROR(__xludf.DUMMYFUNCTION("if(B73&lt;=999,if(B73&lt;=99,IF(B73&lt;=9,join(,""000"",B73),join(,""00"",B73)),join(,""0"",B73)),B73)"),1403.0)</f>
        <v>1403</v>
      </c>
      <c r="E73" s="270" t="s">
        <v>198</v>
      </c>
      <c r="F73" s="263" t="str">
        <f>vlookup(B73,'Geotagging Master All-Training '!$A$2:$C$2474,2,false)</f>
        <v>#N/A</v>
      </c>
      <c r="G73" s="263" t="str">
        <f>vlookup(B73,'Geotagging Master All-Training '!$A$2:$C$2474,3,false)</f>
        <v>#N/A</v>
      </c>
      <c r="H73" s="265" t="s">
        <v>20</v>
      </c>
      <c r="I73" s="266">
        <v>37777.0</v>
      </c>
    </row>
    <row r="74" hidden="1">
      <c r="A74" s="272">
        <v>1265.0</v>
      </c>
      <c r="B74" s="272">
        <v>1265.0</v>
      </c>
      <c r="C74" s="260">
        <v>69.0</v>
      </c>
      <c r="D74" s="273">
        <f>IFERROR(__xludf.DUMMYFUNCTION("if(B74&lt;=999,if(B74&lt;=99,IF(B74&lt;=9,join(,""000"",B74),join(,""00"",B74)),join(,""0"",B74)),B74)"),1265.0)</f>
        <v>1265</v>
      </c>
      <c r="E74" s="274" t="s">
        <v>199</v>
      </c>
      <c r="F74" s="263" t="str">
        <f>vlookup(B74,'Geotagging Master All-Training '!$A$2:$C$2474,2,false)</f>
        <v>#N/A</v>
      </c>
      <c r="G74" s="263" t="str">
        <f>vlookup(B74,'Geotagging Master All-Training '!$A$2:$C$2474,3,false)</f>
        <v>#N/A</v>
      </c>
      <c r="H74" s="276" t="s">
        <v>20</v>
      </c>
      <c r="I74" s="277">
        <v>8.0</v>
      </c>
    </row>
    <row r="75" hidden="1">
      <c r="A75" s="258">
        <v>1104.0</v>
      </c>
      <c r="B75" s="258">
        <v>1104.0</v>
      </c>
      <c r="C75" s="260">
        <v>70.0</v>
      </c>
      <c r="D75" s="260">
        <f>IFERROR(__xludf.DUMMYFUNCTION("if(B75&lt;=999,if(B75&lt;=99,IF(B75&lt;=9,join(,""000"",B75),join(,""00"",B75)),join(,""0"",B75)),B75)"),1104.0)</f>
        <v>1104</v>
      </c>
      <c r="E75" s="262" t="s">
        <v>202</v>
      </c>
      <c r="F75" s="263" t="str">
        <f>vlookup(B75,'Geotagging Master All-Training '!$A$2:$C$2474,2,false)</f>
        <v>#N/A</v>
      </c>
      <c r="G75" s="263" t="str">
        <f>vlookup(B75,'Geotagging Master All-Training '!$A$2:$C$2474,3,false)</f>
        <v>#N/A</v>
      </c>
      <c r="H75" s="265" t="s">
        <v>20</v>
      </c>
      <c r="I75" s="266">
        <v>8.0</v>
      </c>
    </row>
    <row r="76" hidden="1">
      <c r="A76" s="258">
        <v>1030.0</v>
      </c>
      <c r="B76" s="258">
        <v>1030.0</v>
      </c>
      <c r="C76" s="260">
        <v>71.0</v>
      </c>
      <c r="D76" s="260">
        <f>IFERROR(__xludf.DUMMYFUNCTION("if(B76&lt;=999,if(B76&lt;=99,IF(B76&lt;=9,join(,""000"",B76),join(,""00"",B76)),join(,""0"",B76)),B76)"),1030.0)</f>
        <v>1030</v>
      </c>
      <c r="E76" s="270" t="s">
        <v>203</v>
      </c>
      <c r="F76" s="263" t="str">
        <f>vlookup(B76,'Geotagging Master All-Training '!$A$2:$C$2474,2,false)</f>
        <v>#N/A</v>
      </c>
      <c r="G76" s="263" t="str">
        <f>vlookup(B76,'Geotagging Master All-Training '!$A$2:$C$2474,3,false)</f>
        <v>#N/A</v>
      </c>
      <c r="H76" s="265" t="s">
        <v>20</v>
      </c>
      <c r="I76" s="266">
        <v>443.0</v>
      </c>
    </row>
    <row r="77" hidden="1">
      <c r="A77" s="272">
        <v>1426.0</v>
      </c>
      <c r="B77" s="272">
        <v>1426.0</v>
      </c>
      <c r="C77" s="260">
        <v>72.0</v>
      </c>
      <c r="D77" s="273">
        <f>IFERROR(__xludf.DUMMYFUNCTION("if(B77&lt;=999,if(B77&lt;=99,IF(B77&lt;=9,join(,""000"",B77),join(,""00"",B77)),join(,""0"",B77)),B77)"),1426.0)</f>
        <v>1426</v>
      </c>
      <c r="E77" s="274" t="s">
        <v>205</v>
      </c>
      <c r="F77" s="263" t="str">
        <f>vlookup(B77,'Geotagging Master All-Training '!$A$2:$C$2474,2,false)</f>
        <v>#N/A</v>
      </c>
      <c r="G77" s="263" t="str">
        <f>vlookup(B77,'Geotagging Master All-Training '!$A$2:$C$2474,3,false)</f>
        <v>#N/A</v>
      </c>
      <c r="H77" s="276" t="s">
        <v>20</v>
      </c>
      <c r="I77" s="277">
        <v>32.0</v>
      </c>
    </row>
    <row r="78">
      <c r="A78" s="272">
        <v>1123.0</v>
      </c>
      <c r="B78" s="272">
        <v>1123.0</v>
      </c>
      <c r="C78" s="273">
        <v>4.0</v>
      </c>
      <c r="D78" s="273"/>
      <c r="E78" s="304"/>
      <c r="F78" s="303"/>
      <c r="G78" s="303"/>
      <c r="H78" s="276"/>
      <c r="I78" s="277" t="e">
        <v>#N/A</v>
      </c>
    </row>
    <row r="79" hidden="1">
      <c r="A79" s="272">
        <v>460.0</v>
      </c>
      <c r="B79" s="272">
        <v>460.0</v>
      </c>
      <c r="C79" s="260">
        <v>74.0</v>
      </c>
      <c r="D79" s="273" t="str">
        <f>IFERROR(__xludf.DUMMYFUNCTION("if(B79&lt;=999,if(B79&lt;=99,IF(B79&lt;=9,join(,""000"",B79),join(,""00"",B79)),join(,""0"",B79)),B79)"),"0460")</f>
        <v>0460</v>
      </c>
      <c r="E79" s="274" t="s">
        <v>210</v>
      </c>
      <c r="F79" s="263" t="str">
        <f>vlookup(B79,'Geotagging Master All-Training '!$A$2:$C$2474,2,false)</f>
        <v>#N/A</v>
      </c>
      <c r="G79" s="263" t="str">
        <f>vlookup(B79,'Geotagging Master All-Training '!$A$2:$C$2474,3,false)</f>
        <v>#N/A</v>
      </c>
      <c r="H79" s="276" t="s">
        <v>20</v>
      </c>
      <c r="I79" s="277">
        <v>8080.0</v>
      </c>
    </row>
    <row r="80" hidden="1">
      <c r="A80" s="258">
        <v>792.0</v>
      </c>
      <c r="B80" s="258">
        <v>792.0</v>
      </c>
      <c r="C80" s="260">
        <v>75.0</v>
      </c>
      <c r="D80" s="260" t="str">
        <f>IFERROR(__xludf.DUMMYFUNCTION("if(B80&lt;=999,if(B80&lt;=99,IF(B80&lt;=9,join(,""000"",B80),join(,""00"",B80)),join(,""0"",B80)),B80)"),"0792")</f>
        <v>0792</v>
      </c>
      <c r="E80" s="262" t="s">
        <v>212</v>
      </c>
      <c r="F80" s="263" t="str">
        <f>vlookup(B80,'Geotagging Master All-Training '!$A$2:$C$2474,2,false)</f>
        <v>#N/A</v>
      </c>
      <c r="G80" s="263" t="str">
        <f>vlookup(B80,'Geotagging Master All-Training '!$A$2:$C$2474,3,false)</f>
        <v>#N/A</v>
      </c>
      <c r="H80" s="265" t="s">
        <v>20</v>
      </c>
      <c r="I80" s="266">
        <v>1.0</v>
      </c>
    </row>
    <row r="81" hidden="1">
      <c r="A81" s="272">
        <v>396.0</v>
      </c>
      <c r="B81" s="272">
        <v>396.0</v>
      </c>
      <c r="C81" s="273">
        <v>76.0</v>
      </c>
      <c r="D81" s="273" t="str">
        <f>IFERROR(__xludf.DUMMYFUNCTION("if(B81&lt;=999,if(B81&lt;=99,IF(B81&lt;=9,join(,""000"",B81),join(,""00"",B81)),join(,""0"",B81)),B81)"),"0396")</f>
        <v>0396</v>
      </c>
      <c r="E81" s="304" t="s">
        <v>214</v>
      </c>
      <c r="F81" s="303" t="str">
        <f>vlookup(B81,'Geotagging Master All-Training '!$A$2:$C$2474,2,false)</f>
        <v>#N/A</v>
      </c>
      <c r="G81" s="303" t="str">
        <f>vlookup(B81,'Geotagging Master All-Training '!$A$2:$C$2474,3,false)</f>
        <v>#N/A</v>
      </c>
      <c r="H81" s="276" t="s">
        <v>20</v>
      </c>
      <c r="I81" s="277" t="e">
        <v>#N/A</v>
      </c>
    </row>
    <row r="82" hidden="1">
      <c r="A82" s="258">
        <v>1044.0</v>
      </c>
      <c r="B82" s="258">
        <v>1044.0</v>
      </c>
      <c r="C82" s="260">
        <v>77.0</v>
      </c>
      <c r="D82" s="260">
        <f>IFERROR(__xludf.DUMMYFUNCTION("if(B82&lt;=999,if(B82&lt;=99,IF(B82&lt;=9,join(,""000"",B82),join(,""00"",B82)),join(,""0"",B82)),B82)"),1044.0)</f>
        <v>1044</v>
      </c>
      <c r="E82" s="262" t="s">
        <v>215</v>
      </c>
      <c r="F82" s="263" t="str">
        <f>vlookup(B82,'Geotagging Master All-Training '!$A$2:$C$2474,2,false)</f>
        <v>#N/A</v>
      </c>
      <c r="G82" s="263" t="str">
        <f>vlookup(B82,'Geotagging Master All-Training '!$A$2:$C$2474,3,false)</f>
        <v>#N/A</v>
      </c>
      <c r="H82" s="265" t="s">
        <v>20</v>
      </c>
      <c r="I82" s="266">
        <v>16.0</v>
      </c>
    </row>
    <row r="83" hidden="1">
      <c r="A83" s="258">
        <v>730.0</v>
      </c>
      <c r="B83" s="259">
        <v>730.0</v>
      </c>
      <c r="C83" s="260">
        <v>78.0</v>
      </c>
      <c r="D83" s="260" t="str">
        <f>IFERROR(__xludf.DUMMYFUNCTION("if(B83&lt;=999,if(B83&lt;=99,IF(B83&lt;=9,join(,""000"",B83),join(,""00"",B83)),join(,""0"",B83)),B83)"),"0730")</f>
        <v>0730</v>
      </c>
      <c r="E83" s="262" t="s">
        <v>218</v>
      </c>
      <c r="F83" s="263" t="str">
        <f>vlookup(B83,'Geotagging Master All-Training '!$A$2:$C$2474,2,false)</f>
        <v>#N/A</v>
      </c>
      <c r="G83" s="263" t="str">
        <f>vlookup(B83,'Geotagging Master All-Training '!$A$2:$C$2474,3,false)</f>
        <v>#N/A</v>
      </c>
      <c r="H83" s="265" t="s">
        <v>20</v>
      </c>
      <c r="I83" s="266">
        <v>16.0</v>
      </c>
    </row>
    <row r="84" hidden="1">
      <c r="A84" s="272">
        <v>1237.0</v>
      </c>
      <c r="B84" s="272">
        <v>1237.0</v>
      </c>
      <c r="C84" s="273">
        <v>79.0</v>
      </c>
      <c r="D84" s="273">
        <f>IFERROR(__xludf.DUMMYFUNCTION("if(B84&lt;=999,if(B84&lt;=99,IF(B84&lt;=9,join(,""000"",B84),join(,""00"",B84)),join(,""0"",B84)),B84)"),1237.0)</f>
        <v>1237</v>
      </c>
      <c r="E84" s="304" t="s">
        <v>219</v>
      </c>
      <c r="F84" s="303" t="str">
        <f>vlookup(B84,'Geotagging Master All-Training '!$A$2:$C$2474,2,false)</f>
        <v>#N/A</v>
      </c>
      <c r="G84" s="303" t="str">
        <f>vlookup(B84,'Geotagging Master All-Training '!$A$2:$C$2474,3,false)</f>
        <v>#N/A</v>
      </c>
      <c r="H84" s="276" t="s">
        <v>20</v>
      </c>
      <c r="I84" s="277" t="e">
        <v>#N/A</v>
      </c>
    </row>
    <row r="85" hidden="1">
      <c r="A85" s="272">
        <v>67.0</v>
      </c>
      <c r="B85" s="272">
        <v>67.0</v>
      </c>
      <c r="C85" s="260">
        <v>80.0</v>
      </c>
      <c r="D85" s="273" t="str">
        <f>IFERROR(__xludf.DUMMYFUNCTION("if(B85&lt;=999,if(B85&lt;=99,IF(B85&lt;=9,join(,""000"",B85),join(,""00"",B85)),join(,""0"",B85)),B85)"),"0067")</f>
        <v>0067</v>
      </c>
      <c r="E85" s="274" t="s">
        <v>220</v>
      </c>
      <c r="F85" s="263" t="str">
        <f>vlookup(B85,'Geotagging Master All-Training '!$A$2:$C$2474,2,false)</f>
        <v>#N/A</v>
      </c>
      <c r="G85" s="263" t="str">
        <f>vlookup(B85,'Geotagging Master All-Training '!$A$2:$C$2474,3,false)</f>
        <v>#N/A</v>
      </c>
      <c r="H85" s="276" t="s">
        <v>20</v>
      </c>
      <c r="I85" s="277"/>
    </row>
    <row r="86" hidden="1">
      <c r="A86" s="272">
        <v>1039.0</v>
      </c>
      <c r="B86" s="272">
        <v>1039.0</v>
      </c>
      <c r="C86" s="273">
        <v>81.0</v>
      </c>
      <c r="D86" s="273">
        <f>IFERROR(__xludf.DUMMYFUNCTION("if(B86&lt;=999,if(B86&lt;=99,IF(B86&lt;=9,join(,""000"",B86),join(,""00"",B86)),join(,""0"",B86)),B86)"),1039.0)</f>
        <v>1039</v>
      </c>
      <c r="E86" s="304" t="s">
        <v>1160</v>
      </c>
      <c r="F86" s="303" t="str">
        <f>vlookup(B86,'Geotagging Master All-Training '!$A$2:$C$2474,2,false)</f>
        <v>#N/A</v>
      </c>
      <c r="G86" s="303" t="str">
        <f>vlookup(B86,'Geotagging Master All-Training '!$A$2:$C$2474,3,false)</f>
        <v>#N/A</v>
      </c>
      <c r="H86" s="276" t="s">
        <v>20</v>
      </c>
      <c r="I86" s="277">
        <v>80.0</v>
      </c>
    </row>
    <row r="87" hidden="1">
      <c r="A87" s="258">
        <v>1152.0</v>
      </c>
      <c r="B87" s="310">
        <v>1152.0</v>
      </c>
      <c r="C87" s="260">
        <v>82.0</v>
      </c>
      <c r="D87" s="260">
        <f>IFERROR(__xludf.DUMMYFUNCTION("if(B87&lt;=999,if(B87&lt;=99,IF(B87&lt;=9,join(,""000"",B87),join(,""00"",B87)),join(,""0"",B87)),B87)"),1152.0)</f>
        <v>1152</v>
      </c>
      <c r="E87" s="270" t="s">
        <v>227</v>
      </c>
      <c r="F87" s="263" t="str">
        <f>vlookup(B87,'Geotagging Master All-Training '!$A$2:$C$2474,2,false)</f>
        <v>#N/A</v>
      </c>
      <c r="G87" s="263" t="str">
        <f>vlookup(B87,'Geotagging Master All-Training '!$A$2:$C$2474,3,false)</f>
        <v>#N/A</v>
      </c>
      <c r="H87" s="265" t="s">
        <v>20</v>
      </c>
      <c r="I87" s="266">
        <v>8.0</v>
      </c>
    </row>
    <row r="88" hidden="1">
      <c r="A88" s="258">
        <v>1436.0</v>
      </c>
      <c r="B88" s="258">
        <v>1436.0</v>
      </c>
      <c r="C88" s="260">
        <v>83.0</v>
      </c>
      <c r="D88" s="260">
        <f>IFERROR(__xludf.DUMMYFUNCTION("if(B88&lt;=999,if(B88&lt;=99,IF(B88&lt;=9,join(,""000"",B88),join(,""00"",B88)),join(,""0"",B88)),B88)"),1436.0)</f>
        <v>1436</v>
      </c>
      <c r="E88" s="270" t="s">
        <v>229</v>
      </c>
      <c r="F88" s="263" t="str">
        <f>vlookup(B88,'Geotagging Master All-Training '!$A$2:$C$2474,2,false)</f>
        <v>#N/A</v>
      </c>
      <c r="G88" s="263" t="str">
        <f>vlookup(B88,'Geotagging Master All-Training '!$A$2:$C$2474,3,false)</f>
        <v>#N/A</v>
      </c>
      <c r="H88" s="265" t="s">
        <v>20</v>
      </c>
      <c r="I88" s="266" t="e">
        <v>#N/A</v>
      </c>
    </row>
    <row r="89" hidden="1">
      <c r="A89" s="258">
        <v>348.0</v>
      </c>
      <c r="B89" s="259">
        <v>348.0</v>
      </c>
      <c r="C89" s="260">
        <v>84.0</v>
      </c>
      <c r="D89" s="260" t="str">
        <f>IFERROR(__xludf.DUMMYFUNCTION("if(B89&lt;=999,if(B89&lt;=99,IF(B89&lt;=9,join(,""000"",B89),join(,""00"",B89)),join(,""0"",B89)),B89)"),"0348")</f>
        <v>0348</v>
      </c>
      <c r="E89" s="262" t="s">
        <v>232</v>
      </c>
      <c r="F89" s="263" t="str">
        <f>vlookup(B89,'Geotagging Master All-Training '!$A$2:$C$2474,2,false)</f>
        <v>#N/A</v>
      </c>
      <c r="G89" s="263" t="str">
        <f>vlookup(B89,'Geotagging Master All-Training '!$A$2:$C$2474,3,false)</f>
        <v>#N/A</v>
      </c>
      <c r="H89" s="265" t="s">
        <v>20</v>
      </c>
      <c r="I89" s="266">
        <v>808.0</v>
      </c>
    </row>
    <row r="90" hidden="1">
      <c r="A90" s="272">
        <v>1227.0</v>
      </c>
      <c r="B90" s="272">
        <v>1227.0</v>
      </c>
      <c r="C90" s="273">
        <v>85.0</v>
      </c>
      <c r="D90" s="273">
        <f>IFERROR(__xludf.DUMMYFUNCTION("if(B90&lt;=999,if(B90&lt;=99,IF(B90&lt;=9,join(,""000"",B90),join(,""00"",B90)),join(,""0"",B90)),B90)"),1227.0)</f>
        <v>1227</v>
      </c>
      <c r="E90" s="304" t="s">
        <v>237</v>
      </c>
      <c r="F90" s="303" t="str">
        <f>vlookup(B90,'Geotagging Master All-Training '!$A$2:$C$2474,2,false)</f>
        <v>#N/A</v>
      </c>
      <c r="G90" s="303" t="str">
        <f>vlookup(B90,'Geotagging Master All-Training '!$A$2:$C$2474,3,false)</f>
        <v>#N/A</v>
      </c>
      <c r="H90" s="276" t="s">
        <v>20</v>
      </c>
      <c r="I90" s="277">
        <v>25002.0</v>
      </c>
    </row>
    <row r="91" hidden="1">
      <c r="A91" s="258">
        <v>1062.0</v>
      </c>
      <c r="B91" s="258">
        <v>1062.0</v>
      </c>
      <c r="C91" s="260">
        <v>86.0</v>
      </c>
      <c r="D91" s="260">
        <f>IFERROR(__xludf.DUMMYFUNCTION("if(B91&lt;=999,if(B91&lt;=99,IF(B91&lt;=9,join(,""000"",B91),join(,""00"",B91)),join(,""0"",B91)),B91)"),1062.0)</f>
        <v>1062</v>
      </c>
      <c r="E91" s="262" t="s">
        <v>238</v>
      </c>
      <c r="F91" s="263" t="str">
        <f>vlookup(B91,'Geotagging Master All-Training '!$A$2:$C$2474,2,false)</f>
        <v>#N/A</v>
      </c>
      <c r="G91" s="263" t="str">
        <f>vlookup(B91,'Geotagging Master All-Training '!$A$2:$C$2474,3,false)</f>
        <v>#N/A</v>
      </c>
      <c r="H91" s="265" t="s">
        <v>20</v>
      </c>
      <c r="I91" s="266">
        <v>25002.0</v>
      </c>
    </row>
    <row r="92" hidden="1">
      <c r="A92" s="258">
        <v>1061.0</v>
      </c>
      <c r="B92" s="258">
        <v>1061.0</v>
      </c>
      <c r="C92" s="260">
        <v>87.0</v>
      </c>
      <c r="D92" s="260">
        <f>IFERROR(__xludf.DUMMYFUNCTION("if(B92&lt;=999,if(B92&lt;=99,IF(B92&lt;=9,join(,""000"",B92),join(,""00"",B92)),join(,""0"",B92)),B92)"),1061.0)</f>
        <v>1061</v>
      </c>
      <c r="E92" s="262" t="s">
        <v>242</v>
      </c>
      <c r="F92" s="263" t="str">
        <f>vlookup(B92,'Geotagging Master All-Training '!$A$2:$C$2474,2,false)</f>
        <v>#N/A</v>
      </c>
      <c r="G92" s="263" t="str">
        <f>vlookup(B92,'Geotagging Master All-Training '!$A$2:$C$2474,3,false)</f>
        <v>#N/A</v>
      </c>
      <c r="H92" s="265" t="s">
        <v>20</v>
      </c>
      <c r="I92" s="266" t="s">
        <v>244</v>
      </c>
    </row>
    <row r="93" hidden="1">
      <c r="A93" s="258">
        <v>1214.0</v>
      </c>
      <c r="B93" s="258">
        <v>1214.0</v>
      </c>
      <c r="C93" s="260">
        <v>88.0</v>
      </c>
      <c r="D93" s="260">
        <f>IFERROR(__xludf.DUMMYFUNCTION("if(B93&lt;=999,if(B93&lt;=99,IF(B93&lt;=9,join(,""000"",B93),join(,""00"",B93)),join(,""0"",B93)),B93)"),1214.0)</f>
        <v>1214</v>
      </c>
      <c r="E93" s="262" t="s">
        <v>246</v>
      </c>
      <c r="F93" s="263" t="str">
        <f>vlookup(B93,'Geotagging Master All-Training '!$A$2:$C$2474,2,false)</f>
        <v>#N/A</v>
      </c>
      <c r="G93" s="263" t="str">
        <f>vlookup(B93,'Geotagging Master All-Training '!$A$2:$C$2474,3,false)</f>
        <v>#N/A</v>
      </c>
      <c r="H93" s="265" t="s">
        <v>20</v>
      </c>
      <c r="I93" s="266">
        <v>85.0</v>
      </c>
    </row>
    <row r="94" hidden="1">
      <c r="A94" s="258">
        <v>1365.0</v>
      </c>
      <c r="B94" s="258">
        <v>1365.0</v>
      </c>
      <c r="C94" s="260">
        <v>89.0</v>
      </c>
      <c r="D94" s="260">
        <f>IFERROR(__xludf.DUMMYFUNCTION("if(B94&lt;=999,if(B94&lt;=99,IF(B94&lt;=9,join(,""000"",B94),join(,""00"",B94)),join(,""0"",B94)),B94)"),1365.0)</f>
        <v>1365</v>
      </c>
      <c r="E94" s="262" t="s">
        <v>249</v>
      </c>
      <c r="F94" s="263" t="str">
        <f>vlookup(B94,'Geotagging Master All-Training '!$A$2:$C$2474,2,false)</f>
        <v>#N/A</v>
      </c>
      <c r="G94" s="263" t="str">
        <f>vlookup(B94,'Geotagging Master All-Training '!$A$2:$C$2474,3,false)</f>
        <v>#N/A</v>
      </c>
      <c r="H94" s="265" t="s">
        <v>20</v>
      </c>
      <c r="I94" s="266">
        <v>4.0</v>
      </c>
    </row>
    <row r="95" hidden="1">
      <c r="A95" s="258">
        <v>212.0</v>
      </c>
      <c r="B95" s="259">
        <v>212.0</v>
      </c>
      <c r="C95" s="260">
        <v>90.0</v>
      </c>
      <c r="D95" s="260" t="str">
        <f>IFERROR(__xludf.DUMMYFUNCTION("if(B95&lt;=999,if(B95&lt;=99,IF(B95&lt;=9,join(,""000"",B95),join(,""00"",B95)),join(,""0"",B95)),B95)"),"0212")</f>
        <v>0212</v>
      </c>
      <c r="E95" s="270" t="s">
        <v>252</v>
      </c>
      <c r="F95" s="263" t="str">
        <f>vlookup(B95,'Geotagging Master All-Training '!$A$2:$C$2474,2,false)</f>
        <v>#N/A</v>
      </c>
      <c r="G95" s="263" t="str">
        <f>vlookup(B95,'Geotagging Master All-Training '!$A$2:$C$2474,3,false)</f>
        <v>#N/A</v>
      </c>
      <c r="H95" s="265" t="s">
        <v>20</v>
      </c>
      <c r="I95" s="266">
        <v>16.0</v>
      </c>
    </row>
    <row r="96" hidden="1">
      <c r="A96" s="258">
        <v>813.0</v>
      </c>
      <c r="B96" s="259">
        <v>813.0</v>
      </c>
      <c r="C96" s="260">
        <v>91.0</v>
      </c>
      <c r="D96" s="260" t="str">
        <f>IFERROR(__xludf.DUMMYFUNCTION("if(B96&lt;=999,if(B96&lt;=99,IF(B96&lt;=9,join(,""000"",B96),join(,""00"",B96)),join(,""0"",B96)),B96)"),"0813")</f>
        <v>0813</v>
      </c>
      <c r="E96" s="262" t="s">
        <v>253</v>
      </c>
      <c r="F96" s="263" t="str">
        <f>vlookup(B96,'Geotagging Master All-Training '!$A$2:$C$2474,2,false)</f>
        <v>#N/A</v>
      </c>
      <c r="G96" s="263" t="str">
        <f>vlookup(B96,'Geotagging Master All-Training '!$A$2:$C$2474,3,false)</f>
        <v>#N/A</v>
      </c>
      <c r="H96" s="265" t="s">
        <v>20</v>
      </c>
      <c r="I96" s="266"/>
    </row>
    <row r="97" hidden="1">
      <c r="A97" s="258">
        <v>64.0</v>
      </c>
      <c r="B97" s="259">
        <v>64.0</v>
      </c>
      <c r="C97" s="260">
        <v>92.0</v>
      </c>
      <c r="D97" s="260" t="str">
        <f>IFERROR(__xludf.DUMMYFUNCTION("if(B97&lt;=999,if(B97&lt;=99,IF(B97&lt;=9,join(,""000"",B97),join(,""00"",B97)),join(,""0"",B97)),B97)"),"0064")</f>
        <v>0064</v>
      </c>
      <c r="E97" s="270" t="s">
        <v>257</v>
      </c>
      <c r="F97" s="263" t="str">
        <f>vlookup(B97,'Geotagging Master All-Training '!$A$2:$C$2474,2,false)</f>
        <v>#N/A</v>
      </c>
      <c r="G97" s="263" t="str">
        <f>vlookup(B97,'Geotagging Master All-Training '!$A$2:$C$2474,3,false)</f>
        <v>#N/A</v>
      </c>
      <c r="H97" s="265" t="s">
        <v>20</v>
      </c>
      <c r="I97" s="266" t="e">
        <v>#N/A</v>
      </c>
    </row>
    <row r="98" hidden="1">
      <c r="A98" s="258">
        <v>14.0</v>
      </c>
      <c r="B98" s="259">
        <v>14.0</v>
      </c>
      <c r="C98" s="260">
        <v>93.0</v>
      </c>
      <c r="D98" s="260" t="str">
        <f>IFERROR(__xludf.DUMMYFUNCTION("if(B98&lt;=999,if(B98&lt;=99,IF(B98&lt;=9,join(,""000"",B98),join(,""00"",B98)),join(,""0"",B98)),B98)"),"0014")</f>
        <v>0014</v>
      </c>
      <c r="E98" s="262" t="s">
        <v>259</v>
      </c>
      <c r="F98" s="263" t="str">
        <f>vlookup(B98,'Geotagging Master All-Training '!$A$2:$C$2474,2,false)</f>
        <v>#N/A</v>
      </c>
      <c r="G98" s="263" t="str">
        <f>vlookup(B98,'Geotagging Master All-Training '!$A$2:$C$2474,3,false)</f>
        <v>#N/A</v>
      </c>
      <c r="H98" s="265" t="s">
        <v>20</v>
      </c>
      <c r="I98" s="266">
        <v>8000.0</v>
      </c>
    </row>
    <row r="99" hidden="1">
      <c r="A99" s="258">
        <v>1447.0</v>
      </c>
      <c r="B99" s="258">
        <v>1447.0</v>
      </c>
      <c r="C99" s="260">
        <v>94.0</v>
      </c>
      <c r="D99" s="260">
        <f>IFERROR(__xludf.DUMMYFUNCTION("if(B99&lt;=999,if(B99&lt;=99,IF(B99&lt;=9,join(,""000"",B99),join(,""00"",B99)),join(,""0"",B99)),B99)"),1447.0)</f>
        <v>1447</v>
      </c>
      <c r="E99" s="270" t="s">
        <v>262</v>
      </c>
      <c r="F99" s="263" t="str">
        <f>vlookup(B99,'Geotagging Master All-Training '!$A$2:$C$2474,2,false)</f>
        <v>#N/A</v>
      </c>
      <c r="G99" s="263" t="str">
        <f>vlookup(B99,'Geotagging Master All-Training '!$A$2:$C$2474,3,false)</f>
        <v>#N/A</v>
      </c>
      <c r="H99" s="265" t="s">
        <v>20</v>
      </c>
      <c r="I99" s="266" t="s">
        <v>264</v>
      </c>
    </row>
    <row r="100" hidden="1">
      <c r="A100" s="258">
        <v>539.0</v>
      </c>
      <c r="B100" s="258">
        <v>539.0</v>
      </c>
      <c r="C100" s="260">
        <v>95.0</v>
      </c>
      <c r="D100" s="260" t="str">
        <f>IFERROR(__xludf.DUMMYFUNCTION("if(B100&lt;=999,if(B100&lt;=99,IF(B100&lt;=9,join(,""000"",B100),join(,""00"",B100)),join(,""0"",B100)),B100)"),"0539")</f>
        <v>0539</v>
      </c>
      <c r="E100" s="270" t="s">
        <v>184</v>
      </c>
      <c r="F100" s="263" t="str">
        <f>vlookup(B100,'Geotagging Master All-Training '!$A$2:$C$2474,2,false)</f>
        <v>#N/A</v>
      </c>
      <c r="G100" s="263" t="str">
        <f>vlookup(B100,'Geotagging Master All-Training '!$A$2:$C$2474,3,false)</f>
        <v>#N/A</v>
      </c>
      <c r="H100" s="265" t="s">
        <v>20</v>
      </c>
      <c r="I100" s="266">
        <v>80.0</v>
      </c>
    </row>
    <row r="101" hidden="1">
      <c r="A101" s="258">
        <v>1282.0</v>
      </c>
      <c r="B101" s="258">
        <v>1282.0</v>
      </c>
      <c r="C101" s="260">
        <v>96.0</v>
      </c>
      <c r="D101" s="260">
        <f>IFERROR(__xludf.DUMMYFUNCTION("if(B101&lt;=999,if(B101&lt;=99,IF(B101&lt;=9,join(,""000"",B101),join(,""00"",B101)),join(,""0"",B101)),B101)"),1282.0)</f>
        <v>1282</v>
      </c>
      <c r="E101" s="270" t="s">
        <v>552</v>
      </c>
      <c r="F101" s="263" t="str">
        <f>vlookup(B101,'Geotagging Master All-Training '!$A$2:$C$2474,2,false)</f>
        <v>#N/A</v>
      </c>
      <c r="G101" s="263" t="str">
        <f>vlookup(B101,'Geotagging Master All-Training '!$A$2:$C$2474,3,false)</f>
        <v>#N/A</v>
      </c>
      <c r="H101" s="265" t="s">
        <v>20</v>
      </c>
      <c r="I101" s="266">
        <v>80.0</v>
      </c>
    </row>
    <row r="102" hidden="1">
      <c r="A102" s="258">
        <v>150.0</v>
      </c>
      <c r="B102" s="259">
        <v>150.0</v>
      </c>
      <c r="C102" s="260">
        <v>97.0</v>
      </c>
      <c r="D102" s="260" t="str">
        <f>IFERROR(__xludf.DUMMYFUNCTION("if(B102&lt;=999,if(B102&lt;=99,IF(B102&lt;=9,join(,""000"",B102),join(,""00"",B102)),join(,""0"",B102)),B102)"),"0150")</f>
        <v>0150</v>
      </c>
      <c r="E102" s="262" t="s">
        <v>268</v>
      </c>
      <c r="F102" s="263" t="str">
        <f>vlookup(B102,'Geotagging Master All-Training '!$A$2:$C$2474,2,false)</f>
        <v>#N/A</v>
      </c>
      <c r="G102" s="263" t="str">
        <f>vlookup(B102,'Geotagging Master All-Training '!$A$2:$C$2474,3,false)</f>
        <v>#N/A</v>
      </c>
      <c r="H102" s="265" t="s">
        <v>20</v>
      </c>
      <c r="I102" s="311" t="str">
        <f>vlookup(A102,#REF!,11,false)</f>
        <v>#REF!</v>
      </c>
    </row>
    <row r="103" hidden="1">
      <c r="A103" s="258">
        <v>43.0</v>
      </c>
      <c r="B103" s="258">
        <v>43.0</v>
      </c>
      <c r="C103" s="260">
        <v>98.0</v>
      </c>
      <c r="D103" s="260" t="str">
        <f>IFERROR(__xludf.DUMMYFUNCTION("if(B103&lt;=999,if(B103&lt;=99,IF(B103&lt;=9,join(,""000"",B103),join(,""00"",B103)),join(,""0"",B103)),B103)"),"0043")</f>
        <v>0043</v>
      </c>
      <c r="E103" s="262" t="s">
        <v>269</v>
      </c>
      <c r="F103" s="263" t="str">
        <f>vlookup(B103,'Geotagging Master All-Training '!$A$2:$C$2474,2,false)</f>
        <v>#N/A</v>
      </c>
      <c r="G103" s="263" t="str">
        <f>vlookup(B103,'Geotagging Master All-Training '!$A$2:$C$2474,3,false)</f>
        <v>#N/A</v>
      </c>
      <c r="H103" s="265" t="s">
        <v>20</v>
      </c>
      <c r="I103" s="266" t="e">
        <v>#N/A</v>
      </c>
    </row>
    <row r="104" hidden="1">
      <c r="A104" s="258">
        <v>1354.0</v>
      </c>
      <c r="B104" s="259">
        <v>1354.0</v>
      </c>
      <c r="C104" s="260">
        <v>99.0</v>
      </c>
      <c r="D104" s="260">
        <f>IFERROR(__xludf.DUMMYFUNCTION("if(B104&lt;=999,if(B104&lt;=99,IF(B104&lt;=9,join(,""000"",B104),join(,""00"",B104)),join(,""0"",B104)),B104)"),1354.0)</f>
        <v>1354</v>
      </c>
      <c r="E104" s="270" t="s">
        <v>273</v>
      </c>
      <c r="F104" s="263" t="str">
        <f>vlookup(B104,'Geotagging Master All-Training '!$A$2:$C$2474,2,false)</f>
        <v>#N/A</v>
      </c>
      <c r="G104" s="263" t="str">
        <f>vlookup(B104,'Geotagging Master All-Training '!$A$2:$C$2474,3,false)</f>
        <v>#N/A</v>
      </c>
      <c r="H104" s="265" t="s">
        <v>20</v>
      </c>
      <c r="I104" s="266">
        <v>32.0</v>
      </c>
    </row>
    <row r="105" hidden="1">
      <c r="A105" s="258">
        <v>1135.0</v>
      </c>
      <c r="B105" s="259">
        <v>1135.0</v>
      </c>
      <c r="C105" s="260">
        <v>100.0</v>
      </c>
      <c r="D105" s="260">
        <f>IFERROR(__xludf.DUMMYFUNCTION("if(B105&lt;=999,if(B105&lt;=99,IF(B105&lt;=9,join(,""000"",B105),join(,""00"",B105)),join(,""0"",B105)),B105)"),1135.0)</f>
        <v>1135</v>
      </c>
      <c r="E105" s="270" t="s">
        <v>274</v>
      </c>
      <c r="F105" s="263" t="str">
        <f>vlookup(B105,'Geotagging Master All-Training '!$A$2:$C$2474,2,false)</f>
        <v>#N/A</v>
      </c>
      <c r="G105" s="263" t="str">
        <f>vlookup(B105,'Geotagging Master All-Training '!$A$2:$C$2474,3,false)</f>
        <v>#N/A</v>
      </c>
      <c r="H105" s="265" t="s">
        <v>20</v>
      </c>
      <c r="I105" s="266" t="s">
        <v>275</v>
      </c>
    </row>
    <row r="106" hidden="1">
      <c r="A106" s="258">
        <v>1113.0</v>
      </c>
      <c r="B106" s="258">
        <v>1113.0</v>
      </c>
      <c r="C106" s="260">
        <v>101.0</v>
      </c>
      <c r="D106" s="260">
        <f>IFERROR(__xludf.DUMMYFUNCTION("if(B106&lt;=999,if(B106&lt;=99,IF(B106&lt;=9,join(,""000"",B106),join(,""00"",B106)),join(,""0"",B106)),B106)"),1113.0)</f>
        <v>1113</v>
      </c>
      <c r="E106" s="270" t="s">
        <v>276</v>
      </c>
      <c r="F106" s="263" t="str">
        <f>vlookup(B106,'Geotagging Master All-Training '!$A$2:$C$2474,2,false)</f>
        <v>#N/A</v>
      </c>
      <c r="G106" s="263" t="str">
        <f>vlookup(B106,'Geotagging Master All-Training '!$A$2:$C$2474,3,false)</f>
        <v>#N/A</v>
      </c>
      <c r="H106" s="265" t="s">
        <v>20</v>
      </c>
      <c r="I106" s="266" t="s">
        <v>275</v>
      </c>
    </row>
    <row r="107" hidden="1">
      <c r="A107" s="258">
        <v>1373.0</v>
      </c>
      <c r="B107" s="258">
        <v>1373.0</v>
      </c>
      <c r="C107" s="260">
        <v>102.0</v>
      </c>
      <c r="D107" s="260">
        <f>IFERROR(__xludf.DUMMYFUNCTION("if(B107&lt;=999,if(B107&lt;=99,IF(B107&lt;=9,join(,""000"",B107),join(,""00"",B107)),join(,""0"",B107)),B107)"),1373.0)</f>
        <v>1373</v>
      </c>
      <c r="E107" s="262" t="s">
        <v>277</v>
      </c>
      <c r="F107" s="263" t="str">
        <f>vlookup(B107,'Geotagging Master All-Training '!$A$2:$C$2474,2,false)</f>
        <v>#N/A</v>
      </c>
      <c r="G107" s="263" t="str">
        <f>vlookup(B107,'Geotagging Master All-Training '!$A$2:$C$2474,3,false)</f>
        <v>#N/A</v>
      </c>
      <c r="H107" s="265" t="s">
        <v>20</v>
      </c>
      <c r="I107" s="266" t="e">
        <v>#N/A</v>
      </c>
    </row>
    <row r="108" hidden="1">
      <c r="A108" s="258">
        <v>1151.0</v>
      </c>
      <c r="B108" s="258">
        <v>1151.0</v>
      </c>
      <c r="C108" s="260">
        <v>103.0</v>
      </c>
      <c r="D108" s="260">
        <f>IFERROR(__xludf.DUMMYFUNCTION("if(B108&lt;=999,if(B108&lt;=99,IF(B108&lt;=9,join(,""000"",B108),join(,""00"",B108)),join(,""0"",B108)),B108)"),1151.0)</f>
        <v>1151</v>
      </c>
      <c r="E108" s="262" t="s">
        <v>281</v>
      </c>
      <c r="F108" s="263" t="str">
        <f>vlookup(B108,'Geotagging Master All-Training '!$A$2:$C$2474,2,false)</f>
        <v>#N/A</v>
      </c>
      <c r="G108" s="263" t="str">
        <f>vlookup(B108,'Geotagging Master All-Training '!$A$2:$C$2474,3,false)</f>
        <v>#N/A</v>
      </c>
      <c r="H108" s="265" t="s">
        <v>20</v>
      </c>
      <c r="I108" s="266">
        <v>8004.0</v>
      </c>
    </row>
    <row r="109" hidden="1">
      <c r="A109" s="272">
        <v>1423.0</v>
      </c>
      <c r="B109" s="272">
        <v>1423.0</v>
      </c>
      <c r="C109" s="260">
        <v>104.0</v>
      </c>
      <c r="D109" s="273">
        <f>IFERROR(__xludf.DUMMYFUNCTION("if(B109&lt;=999,if(B109&lt;=99,IF(B109&lt;=9,join(,""000"",B109),join(,""00"",B109)),join(,""0"",B109)),B109)"),1423.0)</f>
        <v>1423</v>
      </c>
      <c r="E109" s="304" t="s">
        <v>282</v>
      </c>
      <c r="F109" s="263" t="str">
        <f>vlookup(B109,'Geotagging Master All-Training '!$A$2:$C$2474,2,false)</f>
        <v>#N/A</v>
      </c>
      <c r="G109" s="263" t="str">
        <f>vlookup(B109,'Geotagging Master All-Training '!$A$2:$C$2474,3,false)</f>
        <v>#N/A</v>
      </c>
      <c r="H109" s="276" t="s">
        <v>20</v>
      </c>
      <c r="I109" s="277"/>
    </row>
    <row r="110" hidden="1">
      <c r="A110" s="258">
        <v>82.0</v>
      </c>
      <c r="B110" s="259">
        <v>82.0</v>
      </c>
      <c r="C110" s="260">
        <v>105.0</v>
      </c>
      <c r="D110" s="260" t="str">
        <f>IFERROR(__xludf.DUMMYFUNCTION("if(B110&lt;=999,if(B110&lt;=99,IF(B110&lt;=9,join(,""000"",B110),join(,""00"",B110)),join(,""0"",B110)),B110)"),"0082")</f>
        <v>0082</v>
      </c>
      <c r="E110" s="270" t="s">
        <v>284</v>
      </c>
      <c r="F110" s="263" t="str">
        <f>vlookup(B110,'Geotagging Master All-Training '!$A$2:$C$2474,2,false)</f>
        <v>#N/A</v>
      </c>
      <c r="G110" s="263" t="str">
        <f>vlookup(B110,'Geotagging Master All-Training '!$A$2:$C$2474,3,false)</f>
        <v>#N/A</v>
      </c>
      <c r="H110" s="265" t="s">
        <v>20</v>
      </c>
      <c r="I110" s="266"/>
    </row>
    <row r="111" hidden="1">
      <c r="A111" s="272">
        <v>1241.0</v>
      </c>
      <c r="B111" s="272">
        <v>1241.0</v>
      </c>
      <c r="C111" s="260">
        <v>106.0</v>
      </c>
      <c r="D111" s="273">
        <f>IFERROR(__xludf.DUMMYFUNCTION("if(B111&lt;=999,if(B111&lt;=99,IF(B111&lt;=9,join(,""000"",B111),join(,""00"",B111)),join(,""0"",B111)),B111)"),1241.0)</f>
        <v>1241</v>
      </c>
      <c r="E111" s="274" t="s">
        <v>285</v>
      </c>
      <c r="F111" s="263" t="str">
        <f>vlookup(B111,'Geotagging Master All-Training '!$A$2:$C$2474,2,false)</f>
        <v>#N/A</v>
      </c>
      <c r="G111" s="263" t="str">
        <f>vlookup(B111,'Geotagging Master All-Training '!$A$2:$C$2474,3,false)</f>
        <v>#N/A</v>
      </c>
      <c r="H111" s="276" t="s">
        <v>20</v>
      </c>
      <c r="I111" s="277"/>
    </row>
    <row r="112" hidden="1">
      <c r="A112" s="272">
        <v>1072.0</v>
      </c>
      <c r="B112" s="272">
        <v>1072.0</v>
      </c>
      <c r="C112" s="260">
        <v>107.0</v>
      </c>
      <c r="D112" s="273">
        <f>IFERROR(__xludf.DUMMYFUNCTION("if(B112&lt;=999,if(B112&lt;=99,IF(B112&lt;=9,join(,""000"",B112),join(,""00"",B112)),join(,""0"",B112)),B112)"),1072.0)</f>
        <v>1072</v>
      </c>
      <c r="E112" s="274" t="s">
        <v>290</v>
      </c>
      <c r="F112" s="263" t="str">
        <f>vlookup(B112,'Geotagging Master All-Training '!$A$2:$C$2474,2,false)</f>
        <v>#N/A</v>
      </c>
      <c r="G112" s="263" t="str">
        <f>vlookup(B112,'Geotagging Master All-Training '!$A$2:$C$2474,3,false)</f>
        <v>#N/A</v>
      </c>
      <c r="H112" s="276" t="s">
        <v>20</v>
      </c>
      <c r="I112" s="277"/>
    </row>
    <row r="113" hidden="1">
      <c r="A113" s="272">
        <v>424.0</v>
      </c>
      <c r="B113" s="272">
        <v>424.0</v>
      </c>
      <c r="C113" s="260">
        <v>108.0</v>
      </c>
      <c r="D113" s="273" t="str">
        <f>IFERROR(__xludf.DUMMYFUNCTION("if(B113&lt;=999,if(B113&lt;=99,IF(B113&lt;=9,join(,""000"",B113),join(,""00"",B113)),join(,""0"",B113)),B113)"),"0424")</f>
        <v>0424</v>
      </c>
      <c r="E113" s="274" t="s">
        <v>293</v>
      </c>
      <c r="F113" s="263" t="str">
        <f>vlookup(B113,'Geotagging Master All-Training '!$A$2:$C$2474,2,false)</f>
        <v>#N/A</v>
      </c>
      <c r="G113" s="263" t="str">
        <f>vlookup(B113,'Geotagging Master All-Training '!$A$2:$C$2474,3,false)</f>
        <v>#N/A</v>
      </c>
      <c r="H113" s="276" t="s">
        <v>20</v>
      </c>
      <c r="I113" s="277" t="s">
        <v>287</v>
      </c>
    </row>
    <row r="114" hidden="1">
      <c r="A114" s="258">
        <v>1103.0</v>
      </c>
      <c r="B114" s="258">
        <v>1103.0</v>
      </c>
      <c r="C114" s="260">
        <v>109.0</v>
      </c>
      <c r="D114" s="260">
        <f>IFERROR(__xludf.DUMMYFUNCTION("if(B114&lt;=999,if(B114&lt;=99,IF(B114&lt;=9,join(,""000"",B114),join(,""00"",B114)),join(,""0"",B114)),B114)"),1103.0)</f>
        <v>1103</v>
      </c>
      <c r="E114" s="270" t="s">
        <v>297</v>
      </c>
      <c r="F114" s="263" t="str">
        <f>vlookup(B114,'Geotagging Master All-Training '!$A$2:$C$2474,2,false)</f>
        <v>#N/A</v>
      </c>
      <c r="G114" s="263" t="str">
        <f>vlookup(B114,'Geotagging Master All-Training '!$A$2:$C$2474,3,false)</f>
        <v>#N/A</v>
      </c>
      <c r="H114" s="265" t="s">
        <v>20</v>
      </c>
      <c r="I114" s="312" t="e">
        <v>#N/A</v>
      </c>
    </row>
    <row r="115" hidden="1">
      <c r="A115" s="258">
        <v>533.0</v>
      </c>
      <c r="B115" s="258">
        <v>533.0</v>
      </c>
      <c r="C115" s="260">
        <v>110.0</v>
      </c>
      <c r="D115" s="260" t="str">
        <f>IFERROR(__xludf.DUMMYFUNCTION("if(B115&lt;=999,if(B115&lt;=99,IF(B115&lt;=9,join(,""000"",B115),join(,""00"",B115)),join(,""0"",B115)),B115)"),"0533")</f>
        <v>0533</v>
      </c>
      <c r="E115" s="270" t="s">
        <v>300</v>
      </c>
      <c r="F115" s="263" t="str">
        <f>vlookup(B115,'Geotagging Master All-Training '!$A$2:$C$2474,2,false)</f>
        <v>#N/A</v>
      </c>
      <c r="G115" s="263" t="str">
        <f>vlookup(B115,'Geotagging Master All-Training '!$A$2:$C$2474,3,false)</f>
        <v>#N/A</v>
      </c>
      <c r="H115" s="265" t="s">
        <v>20</v>
      </c>
      <c r="I115" s="266" t="e">
        <v>#N/A</v>
      </c>
    </row>
    <row r="116">
      <c r="A116" s="272">
        <v>233.0</v>
      </c>
      <c r="B116" s="272">
        <v>233.0</v>
      </c>
      <c r="C116" s="273">
        <v>5.0</v>
      </c>
      <c r="D116" s="273"/>
      <c r="E116" s="304"/>
      <c r="F116" s="303"/>
      <c r="G116" s="303"/>
      <c r="H116" s="276"/>
      <c r="I116" s="277" t="s">
        <v>225</v>
      </c>
    </row>
    <row r="117" hidden="1">
      <c r="A117" s="258">
        <v>242.0</v>
      </c>
      <c r="B117" s="258">
        <v>242.0</v>
      </c>
      <c r="C117" s="260">
        <v>112.0</v>
      </c>
      <c r="D117" s="260" t="str">
        <f>IFERROR(__xludf.DUMMYFUNCTION("if(B117&lt;=999,if(B117&lt;=99,IF(B117&lt;=9,join(,""000"",B117),join(,""00"",B117)),join(,""0"",B117)),B117)"),"0242")</f>
        <v>0242</v>
      </c>
      <c r="E117" s="270" t="s">
        <v>303</v>
      </c>
      <c r="F117" s="263" t="str">
        <f>vlookup(B117,'Geotagging Master All-Training '!$A$2:$C$2474,2,false)</f>
        <v>#N/A</v>
      </c>
      <c r="G117" s="263" t="str">
        <f>vlookup(B117,'Geotagging Master All-Training '!$A$2:$C$2474,3,false)</f>
        <v>#N/A</v>
      </c>
      <c r="H117" s="265" t="s">
        <v>20</v>
      </c>
      <c r="I117" s="266">
        <v>8.0</v>
      </c>
    </row>
    <row r="118" hidden="1">
      <c r="A118" s="258">
        <v>249.0</v>
      </c>
      <c r="B118" s="258">
        <v>249.0</v>
      </c>
      <c r="C118" s="260">
        <v>113.0</v>
      </c>
      <c r="D118" s="260" t="str">
        <f>IFERROR(__xludf.DUMMYFUNCTION("if(B118&lt;=999,if(B118&lt;=99,IF(B118&lt;=9,join(,""000"",B118),join(,""00"",B118)),join(,""0"",B118)),B118)"),"0249")</f>
        <v>0249</v>
      </c>
      <c r="E118" s="270" t="s">
        <v>304</v>
      </c>
      <c r="F118" s="263" t="str">
        <f>vlookup(B118,'Geotagging Master All-Training '!$A$2:$C$2474,2,false)</f>
        <v>#N/A</v>
      </c>
      <c r="G118" s="263" t="str">
        <f>vlookup(B118,'Geotagging Master All-Training '!$A$2:$C$2474,3,false)</f>
        <v>#N/A</v>
      </c>
      <c r="H118" s="265" t="s">
        <v>20</v>
      </c>
      <c r="I118" s="266"/>
    </row>
    <row r="119" hidden="1">
      <c r="A119" s="272">
        <v>1369.0</v>
      </c>
      <c r="B119" s="272">
        <v>1369.0</v>
      </c>
      <c r="C119" s="273">
        <v>122.0</v>
      </c>
      <c r="D119" s="273">
        <f>IFERROR(__xludf.DUMMYFUNCTION("if(B119&lt;=999,if(B119&lt;=99,IF(B119&lt;=9,join(,""000"",B119),join(,""00"",B119)),join(,""0"",B119)),B119)"),1369.0)</f>
        <v>1369</v>
      </c>
      <c r="E119" s="304" t="s">
        <v>305</v>
      </c>
      <c r="F119" s="303" t="str">
        <f>vlookup(B119,'Geotagging Master All-Training '!$A$2:$C$2474,2,false)</f>
        <v>#N/A</v>
      </c>
      <c r="G119" s="303" t="str">
        <f>vlookup(B119,'Geotagging Master All-Training '!$A$2:$C$2474,3,false)</f>
        <v>#N/A</v>
      </c>
      <c r="H119" s="276" t="s">
        <v>20</v>
      </c>
      <c r="I119" s="277">
        <v>4.250593433136E12</v>
      </c>
    </row>
    <row r="120" hidden="1">
      <c r="A120" s="258">
        <v>1182.0</v>
      </c>
      <c r="B120" s="258">
        <v>1182.0</v>
      </c>
      <c r="C120" s="260">
        <v>115.0</v>
      </c>
      <c r="D120" s="260">
        <f>IFERROR(__xludf.DUMMYFUNCTION("if(B120&lt;=999,if(B120&lt;=99,IF(B120&lt;=9,join(,""000"",B120),join(,""00"",B120)),join(,""0"",B120)),B120)"),1182.0)</f>
        <v>1182</v>
      </c>
      <c r="E120" s="270" t="s">
        <v>306</v>
      </c>
      <c r="F120" s="263" t="str">
        <f>vlookup(B120,'Geotagging Master All-Training '!$A$2:$C$2474,2,false)</f>
        <v>#N/A</v>
      </c>
      <c r="G120" s="263" t="str">
        <f>vlookup(B120,'Geotagging Master All-Training '!$A$2:$C$2474,3,false)</f>
        <v>#N/A</v>
      </c>
      <c r="H120" s="265" t="s">
        <v>20</v>
      </c>
      <c r="I120" s="266">
        <v>80.0</v>
      </c>
    </row>
    <row r="121" hidden="1">
      <c r="A121" s="258">
        <v>224.0</v>
      </c>
      <c r="B121" s="258">
        <v>224.0</v>
      </c>
      <c r="C121" s="260">
        <v>116.0</v>
      </c>
      <c r="D121" s="260" t="str">
        <f>IFERROR(__xludf.DUMMYFUNCTION("if(B121&lt;=999,if(B121&lt;=99,IF(B121&lt;=9,join(,""000"",B121),join(,""00"",B121)),join(,""0"",B121)),B121)"),"0224")</f>
        <v>0224</v>
      </c>
      <c r="E121" s="262" t="s">
        <v>307</v>
      </c>
      <c r="F121" s="263" t="str">
        <f>vlookup(B121,'Geotagging Master All-Training '!$A$2:$C$2474,2,false)</f>
        <v>#N/A</v>
      </c>
      <c r="G121" s="263" t="str">
        <f>vlookup(B121,'Geotagging Master All-Training '!$A$2:$C$2474,3,false)</f>
        <v>#N/A</v>
      </c>
      <c r="H121" s="265" t="s">
        <v>20</v>
      </c>
      <c r="I121" s="266">
        <v>80.0</v>
      </c>
    </row>
    <row r="122" hidden="1">
      <c r="A122" s="258">
        <v>1405.0</v>
      </c>
      <c r="B122" s="258">
        <v>1405.0</v>
      </c>
      <c r="C122" s="260">
        <v>117.0</v>
      </c>
      <c r="D122" s="260">
        <f>IFERROR(__xludf.DUMMYFUNCTION("if(B122&lt;=999,if(B122&lt;=99,IF(B122&lt;=9,join(,""000"",B122),join(,""00"",B122)),join(,""0"",B122)),B122)"),1405.0)</f>
        <v>1405</v>
      </c>
      <c r="E122" s="262" t="s">
        <v>310</v>
      </c>
      <c r="F122" s="263" t="str">
        <f>vlookup(B122,'Geotagging Master All-Training '!$A$2:$C$2474,2,false)</f>
        <v>#N/A</v>
      </c>
      <c r="G122" s="263" t="str">
        <f>vlookup(B122,'Geotagging Master All-Training '!$A$2:$C$2474,3,false)</f>
        <v>#N/A</v>
      </c>
      <c r="H122" s="265" t="s">
        <v>20</v>
      </c>
      <c r="I122" s="266" t="e">
        <v>#N/A</v>
      </c>
    </row>
    <row r="123" hidden="1">
      <c r="A123" s="258">
        <v>1049.0</v>
      </c>
      <c r="B123" s="258">
        <v>1049.0</v>
      </c>
      <c r="C123" s="260">
        <v>118.0</v>
      </c>
      <c r="D123" s="260">
        <f>IFERROR(__xludf.DUMMYFUNCTION("if(B123&lt;=999,if(B123&lt;=99,IF(B123&lt;=9,join(,""000"",B123),join(,""00"",B123)),join(,""0"",B123)),B123)"),1049.0)</f>
        <v>1049</v>
      </c>
      <c r="E123" s="262" t="s">
        <v>312</v>
      </c>
      <c r="F123" s="263" t="str">
        <f>vlookup(B123,'Geotagging Master All-Training '!$A$2:$C$2474,2,false)</f>
        <v>#N/A</v>
      </c>
      <c r="G123" s="263" t="str">
        <f>vlookup(B123,'Geotagging Master All-Training '!$A$2:$C$2474,3,false)</f>
        <v>#N/A</v>
      </c>
      <c r="H123" s="265" t="s">
        <v>20</v>
      </c>
      <c r="I123" s="266">
        <v>25001.0</v>
      </c>
    </row>
    <row r="124" hidden="1">
      <c r="A124" s="258">
        <v>1142.0</v>
      </c>
      <c r="B124" s="258">
        <v>1142.0</v>
      </c>
      <c r="C124" s="260">
        <v>119.0</v>
      </c>
      <c r="D124" s="260">
        <f>IFERROR(__xludf.DUMMYFUNCTION("if(B124&lt;=999,if(B124&lt;=99,IF(B124&lt;=9,join(,""000"",B124),join(,""00"",B124)),join(,""0"",B124)),B124)"),1142.0)</f>
        <v>1142</v>
      </c>
      <c r="E124" s="270" t="s">
        <v>315</v>
      </c>
      <c r="F124" s="263" t="str">
        <f>vlookup(B124,'Geotagging Master All-Training '!$A$2:$C$2474,2,false)</f>
        <v>#N/A</v>
      </c>
      <c r="G124" s="263" t="str">
        <f>vlookup(B124,'Geotagging Master All-Training '!$A$2:$C$2474,3,false)</f>
        <v>#N/A</v>
      </c>
      <c r="H124" s="265" t="s">
        <v>20</v>
      </c>
      <c r="I124" s="266">
        <v>25001.0</v>
      </c>
    </row>
    <row r="125" hidden="1">
      <c r="A125" s="258">
        <v>1416.0</v>
      </c>
      <c r="B125" s="259">
        <v>1416.0</v>
      </c>
      <c r="C125" s="260">
        <v>120.0</v>
      </c>
      <c r="D125" s="260">
        <f>IFERROR(__xludf.DUMMYFUNCTION("if(B125&lt;=999,if(B125&lt;=99,IF(B125&lt;=9,join(,""000"",B125),join(,""00"",B125)),join(,""0"",B125)),B125)"),1416.0)</f>
        <v>1416</v>
      </c>
      <c r="E125" s="270" t="s">
        <v>318</v>
      </c>
      <c r="F125" s="263" t="str">
        <f>vlookup(B125,'Geotagging Master All-Training '!$A$2:$C$2474,2,false)</f>
        <v>#N/A</v>
      </c>
      <c r="G125" s="263" t="str">
        <f>vlookup(B125,'Geotagging Master All-Training '!$A$2:$C$2474,3,false)</f>
        <v>#N/A</v>
      </c>
      <c r="H125" s="265" t="s">
        <v>20</v>
      </c>
      <c r="I125" s="266" t="e">
        <v>#N/A</v>
      </c>
    </row>
    <row r="126" hidden="1">
      <c r="A126" s="258">
        <v>1345.0</v>
      </c>
      <c r="B126" s="258">
        <v>1345.0</v>
      </c>
      <c r="C126" s="260">
        <v>121.0</v>
      </c>
      <c r="D126" s="260">
        <f>IFERROR(__xludf.DUMMYFUNCTION("if(B126&lt;=999,if(B126&lt;=99,IF(B126&lt;=9,join(,""000"",B126),join(,""00"",B126)),join(,""0"",B126)),B126)"),1345.0)</f>
        <v>1345</v>
      </c>
      <c r="E126" s="262" t="s">
        <v>319</v>
      </c>
      <c r="F126" s="263" t="str">
        <f>vlookup(B126,'Geotagging Master All-Training '!$A$2:$C$2474,2,false)</f>
        <v>#N/A</v>
      </c>
      <c r="G126" s="263" t="str">
        <f>vlookup(B126,'Geotagging Master All-Training '!$A$2:$C$2474,3,false)</f>
        <v>#N/A</v>
      </c>
      <c r="H126" s="265" t="s">
        <v>20</v>
      </c>
      <c r="I126" s="266">
        <v>32.0</v>
      </c>
    </row>
    <row r="127" hidden="1">
      <c r="A127" s="272">
        <v>1204.0</v>
      </c>
      <c r="B127" s="272">
        <v>1204.0</v>
      </c>
      <c r="C127" s="273">
        <v>123.0</v>
      </c>
      <c r="D127" s="273">
        <f>IFERROR(__xludf.DUMMYFUNCTION("if(B127&lt;=999,if(B127&lt;=99,IF(B127&lt;=9,join(,""000"",B127),join(,""00"",B127)),join(,""0"",B127)),B127)"),1204.0)</f>
        <v>1204</v>
      </c>
      <c r="E127" s="313" t="s">
        <v>322</v>
      </c>
      <c r="F127" s="303" t="s">
        <v>1336</v>
      </c>
      <c r="G127" s="303" t="str">
        <f>vlookup(B127,'Geotagging Master All-Training '!$A$2:$C$2474,3,false)</f>
        <v>#N/A</v>
      </c>
      <c r="H127" s="276" t="s">
        <v>20</v>
      </c>
      <c r="I127" s="277" t="e">
        <v>#N/A</v>
      </c>
    </row>
    <row r="128">
      <c r="A128" s="272">
        <v>461.0</v>
      </c>
      <c r="B128" s="272">
        <v>461.0</v>
      </c>
      <c r="C128" s="273">
        <v>6.0</v>
      </c>
      <c r="D128" s="273"/>
      <c r="E128" s="304"/>
      <c r="F128" s="303"/>
      <c r="G128" s="303"/>
      <c r="H128" s="276"/>
      <c r="I128" s="277" t="e">
        <v>#N/A</v>
      </c>
    </row>
    <row r="129" hidden="1">
      <c r="A129" s="258">
        <v>51.0</v>
      </c>
      <c r="B129" s="259">
        <v>51.0</v>
      </c>
      <c r="C129" s="260">
        <v>124.0</v>
      </c>
      <c r="D129" s="260" t="str">
        <f>IFERROR(__xludf.DUMMYFUNCTION("if(B129&lt;=999,if(B129&lt;=99,IF(B129&lt;=9,join(,""000"",B129),join(,""00"",B129)),join(,""0"",B129)),B129)"),"0051")</f>
        <v>0051</v>
      </c>
      <c r="E129" s="270" t="s">
        <v>67</v>
      </c>
      <c r="F129" s="263" t="str">
        <f>vlookup(B129,'Geotagging Master All-Training '!$A$2:$C$2474,2,false)</f>
        <v>#N/A</v>
      </c>
      <c r="G129" s="263" t="str">
        <f>vlookup(B129,'Geotagging Master All-Training '!$A$2:$C$2474,3,false)</f>
        <v>#N/A</v>
      </c>
      <c r="H129" s="265" t="s">
        <v>20</v>
      </c>
      <c r="I129" s="266" t="e">
        <v>#N/A</v>
      </c>
    </row>
    <row r="130" hidden="1">
      <c r="A130" s="258">
        <v>367.0</v>
      </c>
      <c r="B130" s="258">
        <v>367.0</v>
      </c>
      <c r="C130" s="260">
        <v>125.0</v>
      </c>
      <c r="D130" s="260" t="str">
        <f>IFERROR(__xludf.DUMMYFUNCTION("if(B130&lt;=999,if(B130&lt;=99,IF(B130&lt;=9,join(,""000"",B130),join(,""00"",B130)),join(,""0"",B130)),B130)"),"0367")</f>
        <v>0367</v>
      </c>
      <c r="E130" s="262" t="s">
        <v>324</v>
      </c>
      <c r="F130" s="263" t="str">
        <f>vlookup(B130,'Geotagging Master All-Training '!$A$2:$C$2474,2,false)</f>
        <v>#N/A</v>
      </c>
      <c r="G130" s="263" t="str">
        <f>vlookup(B130,'Geotagging Master All-Training '!$A$2:$C$2474,3,false)</f>
        <v>#N/A</v>
      </c>
      <c r="H130" s="265" t="s">
        <v>20</v>
      </c>
      <c r="I130" s="266" t="s">
        <v>326</v>
      </c>
    </row>
    <row r="131" hidden="1">
      <c r="A131" s="258">
        <v>1032.0</v>
      </c>
      <c r="B131" s="258">
        <v>1032.0</v>
      </c>
      <c r="C131" s="260">
        <v>126.0</v>
      </c>
      <c r="D131" s="260">
        <f>IFERROR(__xludf.DUMMYFUNCTION("if(B131&lt;=999,if(B131&lt;=99,IF(B131&lt;=9,join(,""000"",B131),join(,""00"",B131)),join(,""0"",B131)),B131)"),1032.0)</f>
        <v>1032</v>
      </c>
      <c r="E131" s="270" t="s">
        <v>328</v>
      </c>
      <c r="F131" s="263" t="str">
        <f>vlookup(B131,'Geotagging Master All-Training '!$A$2:$C$2474,2,false)</f>
        <v>#N/A</v>
      </c>
      <c r="G131" s="263" t="str">
        <f>vlookup(B131,'Geotagging Master All-Training '!$A$2:$C$2474,3,false)</f>
        <v>#N/A</v>
      </c>
      <c r="H131" s="265" t="s">
        <v>20</v>
      </c>
      <c r="I131" s="266">
        <v>16.0</v>
      </c>
    </row>
    <row r="132" hidden="1">
      <c r="A132" s="272">
        <v>1094.0</v>
      </c>
      <c r="B132" s="272">
        <v>1094.0</v>
      </c>
      <c r="C132" s="260">
        <v>127.0</v>
      </c>
      <c r="D132" s="273">
        <f>IFERROR(__xludf.DUMMYFUNCTION("if(B132&lt;=999,if(B132&lt;=99,IF(B132&lt;=9,join(,""000"",B132),join(,""00"",B132)),join(,""0"",B132)),B132)"),1094.0)</f>
        <v>1094</v>
      </c>
      <c r="E132" s="274" t="s">
        <v>329</v>
      </c>
      <c r="F132" s="263" t="str">
        <f>vlookup(B132,'Geotagging Master All-Training '!$A$2:$C$2474,2,false)</f>
        <v>#N/A</v>
      </c>
      <c r="G132" s="263" t="str">
        <f>vlookup(B132,'Geotagging Master All-Training '!$A$2:$C$2474,3,false)</f>
        <v>#N/A</v>
      </c>
      <c r="H132" s="276" t="s">
        <v>20</v>
      </c>
      <c r="I132" s="277">
        <v>16.0</v>
      </c>
    </row>
    <row r="133" hidden="1">
      <c r="A133" s="258">
        <v>1340.0</v>
      </c>
      <c r="B133" s="258">
        <v>1340.0</v>
      </c>
      <c r="C133" s="260">
        <v>128.0</v>
      </c>
      <c r="D133" s="260">
        <f>IFERROR(__xludf.DUMMYFUNCTION("if(B133&lt;=999,if(B133&lt;=99,IF(B133&lt;=9,join(,""000"",B133),join(,""00"",B133)),join(,""0"",B133)),B133)"),1340.0)</f>
        <v>1340</v>
      </c>
      <c r="E133" s="270" t="s">
        <v>333</v>
      </c>
      <c r="F133" s="263" t="str">
        <f>vlookup(B133,'Geotagging Master All-Training '!$A$2:$C$2474,2,false)</f>
        <v>#N/A</v>
      </c>
      <c r="G133" s="263" t="str">
        <f>vlookup(B133,'Geotagging Master All-Training '!$A$2:$C$2474,3,false)</f>
        <v>#N/A</v>
      </c>
      <c r="H133" s="265" t="s">
        <v>20</v>
      </c>
      <c r="I133" s="266" t="s">
        <v>334</v>
      </c>
    </row>
    <row r="134" hidden="1">
      <c r="A134" s="258">
        <v>1122.0</v>
      </c>
      <c r="B134" s="259">
        <v>1122.0</v>
      </c>
      <c r="C134" s="260">
        <v>129.0</v>
      </c>
      <c r="D134" s="260">
        <f>IFERROR(__xludf.DUMMYFUNCTION("if(B134&lt;=999,if(B134&lt;=99,IF(B134&lt;=9,join(,""000"",B134),join(,""00"",B134)),join(,""0"",B134)),B134)"),1122.0)</f>
        <v>1122</v>
      </c>
      <c r="E134" s="270" t="s">
        <v>335</v>
      </c>
      <c r="F134" s="263" t="str">
        <f>vlookup(B134,'Geotagging Master All-Training '!$A$2:$C$2474,2,false)</f>
        <v>#N/A</v>
      </c>
      <c r="G134" s="263" t="str">
        <f>vlookup(B134,'Geotagging Master All-Training '!$A$2:$C$2474,3,false)</f>
        <v>#N/A</v>
      </c>
      <c r="H134" s="265" t="s">
        <v>20</v>
      </c>
      <c r="I134" s="266" t="s">
        <v>336</v>
      </c>
    </row>
    <row r="135" hidden="1">
      <c r="A135" s="272">
        <v>1279.0</v>
      </c>
      <c r="B135" s="272">
        <v>1279.0</v>
      </c>
      <c r="C135" s="260">
        <v>130.0</v>
      </c>
      <c r="D135" s="273">
        <f>IFERROR(__xludf.DUMMYFUNCTION("if(B135&lt;=999,if(B135&lt;=99,IF(B135&lt;=9,join(,""000"",B135),join(,""00"",B135)),join(,""0"",B135)),B135)"),1279.0)</f>
        <v>1279</v>
      </c>
      <c r="E135" s="304" t="s">
        <v>337</v>
      </c>
      <c r="F135" s="263" t="str">
        <f>vlookup(B135,'Geotagging Master All-Training '!$A$2:$C$2474,2,false)</f>
        <v>#N/A</v>
      </c>
      <c r="G135" s="263" t="str">
        <f>vlookup(B135,'Geotagging Master All-Training '!$A$2:$C$2474,3,false)</f>
        <v>#N/A</v>
      </c>
      <c r="H135" s="276" t="s">
        <v>20</v>
      </c>
      <c r="I135" s="277" t="e">
        <v>#N/A</v>
      </c>
    </row>
    <row r="136" hidden="1">
      <c r="A136" s="258">
        <v>1105.0</v>
      </c>
      <c r="B136" s="259">
        <v>1105.0</v>
      </c>
      <c r="C136" s="260">
        <v>131.0</v>
      </c>
      <c r="D136" s="260">
        <f>IFERROR(__xludf.DUMMYFUNCTION("if(B136&lt;=999,if(B136&lt;=99,IF(B136&lt;=9,join(,""000"",B136),join(,""00"",B136)),join(,""0"",B136)),B136)"),1105.0)</f>
        <v>1105</v>
      </c>
      <c r="E136" s="270" t="s">
        <v>339</v>
      </c>
      <c r="F136" s="263" t="str">
        <f>vlookup(B136,'Geotagging Master All-Training '!$A$2:$C$2474,2,false)</f>
        <v>#N/A</v>
      </c>
      <c r="G136" s="263" t="str">
        <f>vlookup(B136,'Geotagging Master All-Training '!$A$2:$C$2474,3,false)</f>
        <v>#N/A</v>
      </c>
      <c r="H136" s="265" t="s">
        <v>20</v>
      </c>
      <c r="I136" s="266"/>
    </row>
    <row r="137" hidden="1">
      <c r="A137" s="258">
        <v>1454.0</v>
      </c>
      <c r="B137" s="259">
        <v>1454.0</v>
      </c>
      <c r="C137" s="260">
        <v>132.0</v>
      </c>
      <c r="D137" s="260">
        <f>IFERROR(__xludf.DUMMYFUNCTION("if(B137&lt;=999,if(B137&lt;=99,IF(B137&lt;=9,join(,""000"",B137),join(,""00"",B137)),join(,""0"",B137)),B137)"),1454.0)</f>
        <v>1454</v>
      </c>
      <c r="E137" s="270" t="s">
        <v>340</v>
      </c>
      <c r="F137" s="263" t="str">
        <f>vlookup(B137,'Geotagging Master All-Training '!$A$2:$C$2474,2,false)</f>
        <v>#N/A</v>
      </c>
      <c r="G137" s="263" t="str">
        <f>vlookup(B137,'Geotagging Master All-Training '!$A$2:$C$2474,3,false)</f>
        <v>#N/A</v>
      </c>
      <c r="H137" s="265" t="s">
        <v>20</v>
      </c>
      <c r="I137" s="266">
        <v>16.0</v>
      </c>
    </row>
    <row r="138" hidden="1">
      <c r="A138" s="258">
        <v>1411.0</v>
      </c>
      <c r="B138" s="258">
        <v>1411.0</v>
      </c>
      <c r="C138" s="260">
        <v>133.0</v>
      </c>
      <c r="D138" s="260">
        <f>IFERROR(__xludf.DUMMYFUNCTION("if(B138&lt;=999,if(B138&lt;=99,IF(B138&lt;=9,join(,""000"",B138),join(,""00"",B138)),join(,""0"",B138)),B138)"),1411.0)</f>
        <v>1411</v>
      </c>
      <c r="E138" s="270" t="s">
        <v>343</v>
      </c>
      <c r="F138" s="263" t="str">
        <f>vlookup(B138,'Geotagging Master All-Training '!$A$2:$C$2474,2,false)</f>
        <v>#N/A</v>
      </c>
      <c r="G138" s="263" t="str">
        <f>vlookup(B138,'Geotagging Master All-Training '!$A$2:$C$2474,3,false)</f>
        <v>#N/A</v>
      </c>
      <c r="H138" s="265" t="s">
        <v>20</v>
      </c>
      <c r="I138" s="266">
        <v>32.0</v>
      </c>
    </row>
    <row r="139" hidden="1">
      <c r="A139" s="258">
        <v>1116.0</v>
      </c>
      <c r="B139" s="258">
        <v>1116.0</v>
      </c>
      <c r="C139" s="260">
        <v>134.0</v>
      </c>
      <c r="D139" s="260">
        <f>IFERROR(__xludf.DUMMYFUNCTION("if(B139&lt;=999,if(B139&lt;=99,IF(B139&lt;=9,join(,""000"",B139),join(,""00"",B139)),join(,""0"",B139)),B139)"),1116.0)</f>
        <v>1116</v>
      </c>
      <c r="E139" s="262" t="s">
        <v>344</v>
      </c>
      <c r="F139" s="263" t="str">
        <f>vlookup(B139,'Geotagging Master All-Training '!$A$2:$C$2474,2,false)</f>
        <v>#N/A</v>
      </c>
      <c r="G139" s="263" t="str">
        <f>vlookup(B139,'Geotagging Master All-Training '!$A$2:$C$2474,3,false)</f>
        <v>#N/A</v>
      </c>
      <c r="H139" s="265" t="s">
        <v>20</v>
      </c>
      <c r="I139" s="266" t="s">
        <v>346</v>
      </c>
    </row>
    <row r="140" hidden="1">
      <c r="A140" s="258">
        <v>2.0</v>
      </c>
      <c r="B140" s="258">
        <v>2.0</v>
      </c>
      <c r="C140" s="260">
        <v>135.0</v>
      </c>
      <c r="D140" s="260" t="str">
        <f>IFERROR(__xludf.DUMMYFUNCTION("if(B140&lt;=999,if(B140&lt;=99,IF(B140&lt;=9,join(,""000"",B140),join(,""00"",B140)),join(,""0"",B140)),B140)"),"0002")</f>
        <v>0002</v>
      </c>
      <c r="E140" s="270" t="s">
        <v>68</v>
      </c>
      <c r="F140" s="263" t="str">
        <f>vlookup(B140,'Geotagging Master All-Training '!$A$2:$C$2474,2,false)</f>
        <v>#N/A</v>
      </c>
      <c r="G140" s="263" t="str">
        <f>vlookup(B140,'Geotagging Master All-Training '!$A$2:$C$2474,3,false)</f>
        <v>#N/A</v>
      </c>
      <c r="H140" s="265" t="s">
        <v>20</v>
      </c>
      <c r="I140" s="266" t="e">
        <v>#N/A</v>
      </c>
    </row>
    <row r="141" hidden="1">
      <c r="A141" s="258">
        <v>820.0</v>
      </c>
      <c r="B141" s="258">
        <v>820.0</v>
      </c>
      <c r="C141" s="260">
        <v>136.0</v>
      </c>
      <c r="D141" s="260" t="str">
        <f>IFERROR(__xludf.DUMMYFUNCTION("if(B141&lt;=999,if(B141&lt;=99,IF(B141&lt;=9,join(,""000"",B141),join(,""00"",B141)),join(,""0"",B141)),B141)"),"0820")</f>
        <v>0820</v>
      </c>
      <c r="E141" s="270" t="s">
        <v>350</v>
      </c>
      <c r="F141" s="263" t="str">
        <f>vlookup(B141,'Geotagging Master All-Training '!$A$2:$C$2474,2,false)</f>
        <v>#N/A</v>
      </c>
      <c r="G141" s="263" t="str">
        <f>vlookup(B141,'Geotagging Master All-Training '!$A$2:$C$2474,3,false)</f>
        <v>#N/A</v>
      </c>
      <c r="H141" s="265" t="s">
        <v>20</v>
      </c>
      <c r="I141" s="266">
        <v>25001.0</v>
      </c>
    </row>
    <row r="142" hidden="1">
      <c r="A142" s="258">
        <v>240.0</v>
      </c>
      <c r="B142" s="259">
        <v>240.0</v>
      </c>
      <c r="C142" s="260">
        <v>138.0</v>
      </c>
      <c r="D142" s="260" t="str">
        <f>IFERROR(__xludf.DUMMYFUNCTION("if(B142&lt;=999,if(B142&lt;=99,IF(B142&lt;=9,join(,""000"",B142),join(,""00"",B142)),join(,""0"",B142)),B142)"),"0240")</f>
        <v>0240</v>
      </c>
      <c r="E142" s="270" t="s">
        <v>352</v>
      </c>
      <c r="F142" s="263" t="str">
        <f>vlookup(B142,'Geotagging Master All-Training '!$A$2:$C$2474,2,false)</f>
        <v>#N/A</v>
      </c>
      <c r="G142" s="263" t="str">
        <f>vlookup(B142,'Geotagging Master All-Training '!$A$2:$C$2474,3,false)</f>
        <v>#N/A</v>
      </c>
      <c r="H142" s="265" t="s">
        <v>20</v>
      </c>
      <c r="I142" s="266" t="e">
        <v>#N/A</v>
      </c>
    </row>
    <row r="143" hidden="1">
      <c r="A143" s="258">
        <v>1343.0</v>
      </c>
      <c r="B143" s="259">
        <v>1343.0</v>
      </c>
      <c r="C143" s="260">
        <v>139.0</v>
      </c>
      <c r="D143" s="260">
        <f>IFERROR(__xludf.DUMMYFUNCTION("if(B143&lt;=999,if(B143&lt;=99,IF(B143&lt;=9,join(,""000"",B143),join(,""00"",B143)),join(,""0"",B143)),B143)"),1343.0)</f>
        <v>1343</v>
      </c>
      <c r="E143" s="270" t="s">
        <v>353</v>
      </c>
      <c r="F143" s="263" t="str">
        <f>vlookup(B143,'Geotagging Master All-Training '!$A$2:$C$2474,2,false)</f>
        <v>#N/A</v>
      </c>
      <c r="G143" s="263" t="str">
        <f>vlookup(B143,'Geotagging Master All-Training '!$A$2:$C$2474,3,false)</f>
        <v>#N/A</v>
      </c>
      <c r="H143" s="265" t="s">
        <v>20</v>
      </c>
      <c r="I143" s="266"/>
    </row>
    <row r="144" hidden="1">
      <c r="A144" s="258">
        <v>799.0</v>
      </c>
      <c r="B144" s="258">
        <v>799.0</v>
      </c>
      <c r="C144" s="260">
        <v>140.0</v>
      </c>
      <c r="D144" s="260" t="str">
        <f>IFERROR(__xludf.DUMMYFUNCTION("if(B144&lt;=999,if(B144&lt;=99,IF(B144&lt;=9,join(,""000"",B144),join(,""00"",B144)),join(,""0"",B144)),B144)"),"0799")</f>
        <v>0799</v>
      </c>
      <c r="E144" s="270" t="s">
        <v>358</v>
      </c>
      <c r="F144" s="263" t="str">
        <f>vlookup(B144,'Geotagging Master All-Training '!$A$2:$C$2474,2,false)</f>
        <v>#N/A</v>
      </c>
      <c r="G144" s="263" t="str">
        <f>vlookup(B144,'Geotagging Master All-Training '!$A$2:$C$2474,3,false)</f>
        <v>#N/A</v>
      </c>
      <c r="H144" s="265" t="s">
        <v>20</v>
      </c>
      <c r="I144" s="266">
        <v>80.0</v>
      </c>
    </row>
    <row r="145" hidden="1">
      <c r="A145" s="258">
        <v>1429.0</v>
      </c>
      <c r="B145" s="259">
        <v>1429.0</v>
      </c>
      <c r="C145" s="260">
        <v>141.0</v>
      </c>
      <c r="D145" s="260">
        <f>IFERROR(__xludf.DUMMYFUNCTION("if(B145&lt;=999,if(B145&lt;=99,IF(B145&lt;=9,join(,""000"",B145),join(,""00"",B145)),join(,""0"",B145)),B145)"),1429.0)</f>
        <v>1429</v>
      </c>
      <c r="E145" s="262" t="s">
        <v>359</v>
      </c>
      <c r="F145" s="263" t="str">
        <f>vlookup(B145,'Geotagging Master All-Training '!$A$2:$C$2474,2,false)</f>
        <v>#N/A</v>
      </c>
      <c r="G145" s="263" t="str">
        <f>vlookup(B145,'Geotagging Master All-Training '!$A$2:$C$2474,3,false)</f>
        <v>#N/A</v>
      </c>
      <c r="H145" s="265" t="s">
        <v>20</v>
      </c>
      <c r="I145" s="266">
        <v>80.0</v>
      </c>
    </row>
    <row r="146" hidden="1">
      <c r="A146" s="258">
        <v>1051.0</v>
      </c>
      <c r="B146" s="259">
        <v>1051.0</v>
      </c>
      <c r="C146" s="260">
        <v>142.0</v>
      </c>
      <c r="D146" s="260">
        <f>IFERROR(__xludf.DUMMYFUNCTION("if(B146&lt;=999,if(B146&lt;=99,IF(B146&lt;=9,join(,""000"",B146),join(,""00"",B146)),join(,""0"",B146)),B146)"),1051.0)</f>
        <v>1051</v>
      </c>
      <c r="E146" s="262" t="s">
        <v>363</v>
      </c>
      <c r="F146" s="263" t="str">
        <f>vlookup(B146,'Geotagging Master All-Training '!$A$2:$C$2474,2,false)</f>
        <v>#N/A</v>
      </c>
      <c r="G146" s="263" t="str">
        <f>vlookup(B146,'Geotagging Master All-Training '!$A$2:$C$2474,3,false)</f>
        <v>#N/A</v>
      </c>
      <c r="H146" s="265" t="s">
        <v>20</v>
      </c>
      <c r="I146" s="266">
        <v>8.0</v>
      </c>
    </row>
    <row r="147" hidden="1">
      <c r="A147" s="258">
        <v>976.0</v>
      </c>
      <c r="B147" s="258">
        <v>976.0</v>
      </c>
      <c r="C147" s="260">
        <v>143.0</v>
      </c>
      <c r="D147" s="260" t="str">
        <f>IFERROR(__xludf.DUMMYFUNCTION("if(B147&lt;=999,if(B147&lt;=99,IF(B147&lt;=9,join(,""000"",B147),join(,""00"",B147)),join(,""0"",B147)),B147)"),"0976")</f>
        <v>0976</v>
      </c>
      <c r="E147" s="262" t="s">
        <v>365</v>
      </c>
      <c r="F147" s="263" t="str">
        <f>vlookup(B147,'Geotagging Master All-Training '!$A$2:$C$2474,2,false)</f>
        <v>#N/A</v>
      </c>
      <c r="G147" s="263" t="str">
        <f>vlookup(B147,'Geotagging Master All-Training '!$A$2:$C$2474,3,false)</f>
        <v>#N/A</v>
      </c>
      <c r="H147" s="265" t="s">
        <v>20</v>
      </c>
      <c r="I147" s="266">
        <v>8.0</v>
      </c>
    </row>
    <row r="148" hidden="1">
      <c r="A148" s="272">
        <v>77.0</v>
      </c>
      <c r="B148" s="272">
        <v>77.0</v>
      </c>
      <c r="C148" s="273">
        <v>160.0</v>
      </c>
      <c r="D148" s="273" t="str">
        <f>IFERROR(__xludf.DUMMYFUNCTION("if(B148&lt;=999,if(B148&lt;=99,IF(B148&lt;=9,join(,""000"",B148),join(,""00"",B148)),join(,""0"",B148)),B148)"),"0077")</f>
        <v>0077</v>
      </c>
      <c r="E148" s="304" t="s">
        <v>412</v>
      </c>
      <c r="F148" s="303" t="str">
        <f>vlookup(B148,'Geotagging Master All-Training '!$A$2:$C$2474,2,false)</f>
        <v>#N/A</v>
      </c>
      <c r="G148" s="303" t="str">
        <f>vlookup(B148,'Geotagging Master All-Training '!$A$2:$C$2474,3,false)</f>
        <v>#N/A</v>
      </c>
      <c r="H148" s="276" t="s">
        <v>20</v>
      </c>
      <c r="I148" s="277">
        <v>8.0</v>
      </c>
    </row>
    <row r="149" hidden="1">
      <c r="A149" s="258">
        <v>1250.0</v>
      </c>
      <c r="B149" s="259">
        <v>1250.0</v>
      </c>
      <c r="C149" s="260">
        <v>145.0</v>
      </c>
      <c r="D149" s="260">
        <f>IFERROR(__xludf.DUMMYFUNCTION("if(B149&lt;=999,if(B149&lt;=99,IF(B149&lt;=9,join(,""000"",B149),join(,""00"",B149)),join(,""0"",B149)),B149)"),1250.0)</f>
        <v>1250</v>
      </c>
      <c r="E149" s="270" t="s">
        <v>367</v>
      </c>
      <c r="F149" s="263" t="str">
        <f>vlookup(B149,'Geotagging Master All-Training '!$A$2:$C$2474,2,false)</f>
        <v>#N/A</v>
      </c>
      <c r="G149" s="263" t="str">
        <f>vlookup(B149,'Geotagging Master All-Training '!$A$2:$C$2474,3,false)</f>
        <v>#N/A</v>
      </c>
      <c r="H149" s="265" t="s">
        <v>20</v>
      </c>
      <c r="I149" s="266" t="s">
        <v>369</v>
      </c>
    </row>
    <row r="150" hidden="1">
      <c r="A150" s="258">
        <v>1424.0</v>
      </c>
      <c r="B150" s="259">
        <v>1424.0</v>
      </c>
      <c r="C150" s="260">
        <v>146.0</v>
      </c>
      <c r="D150" s="260">
        <f>IFERROR(__xludf.DUMMYFUNCTION("if(B150&lt;=999,if(B150&lt;=99,IF(B150&lt;=9,join(,""000"",B150),join(,""00"",B150)),join(,""0"",B150)),B150)"),1424.0)</f>
        <v>1424</v>
      </c>
      <c r="E150" s="262" t="s">
        <v>371</v>
      </c>
      <c r="F150" s="263" t="str">
        <f>vlookup(B150,'Geotagging Master All-Training '!$A$2:$C$2474,2,false)</f>
        <v>#N/A</v>
      </c>
      <c r="G150" s="263" t="str">
        <f>vlookup(B150,'Geotagging Master All-Training '!$A$2:$C$2474,3,false)</f>
        <v>#N/A</v>
      </c>
      <c r="H150" s="265" t="s">
        <v>20</v>
      </c>
      <c r="I150" s="266">
        <v>16.0</v>
      </c>
    </row>
    <row r="151" hidden="1">
      <c r="A151" s="258">
        <v>1356.0</v>
      </c>
      <c r="B151" s="258">
        <v>1356.0</v>
      </c>
      <c r="C151" s="260">
        <v>147.0</v>
      </c>
      <c r="D151" s="260">
        <f>IFERROR(__xludf.DUMMYFUNCTION("if(B151&lt;=999,if(B151&lt;=99,IF(B151&lt;=9,join(,""000"",B151),join(,""00"",B151)),join(,""0"",B151)),B151)"),1356.0)</f>
        <v>1356</v>
      </c>
      <c r="E151" s="262" t="s">
        <v>375</v>
      </c>
      <c r="F151" s="263" t="str">
        <f>vlookup(B151,'Geotagging Master All-Training '!$A$2:$C$2474,2,false)</f>
        <v>#N/A</v>
      </c>
      <c r="G151" s="263" t="str">
        <f>vlookup(B151,'Geotagging Master All-Training '!$A$2:$C$2474,3,false)</f>
        <v>#N/A</v>
      </c>
      <c r="H151" s="265" t="s">
        <v>20</v>
      </c>
      <c r="I151" s="266" t="s">
        <v>377</v>
      </c>
    </row>
    <row r="152" hidden="1">
      <c r="A152" s="258">
        <v>1019.0</v>
      </c>
      <c r="B152" s="258">
        <v>1019.0</v>
      </c>
      <c r="C152" s="260">
        <v>148.0</v>
      </c>
      <c r="D152" s="260">
        <f>IFERROR(__xludf.DUMMYFUNCTION("if(B152&lt;=999,if(B152&lt;=99,IF(B152&lt;=9,join(,""000"",B152),join(,""00"",B152)),join(,""0"",B152)),B152)"),1019.0)</f>
        <v>1019</v>
      </c>
      <c r="E152" s="262" t="s">
        <v>378</v>
      </c>
      <c r="F152" s="263" t="str">
        <f>vlookup(B152,'Geotagging Master All-Training '!$A$2:$C$2474,2,false)</f>
        <v>#N/A</v>
      </c>
      <c r="G152" s="263" t="str">
        <f>vlookup(B152,'Geotagging Master All-Training '!$A$2:$C$2474,3,false)</f>
        <v>#N/A</v>
      </c>
      <c r="H152" s="265" t="s">
        <v>20</v>
      </c>
      <c r="I152" s="266" t="e">
        <v>#N/A</v>
      </c>
    </row>
    <row r="153" hidden="1">
      <c r="A153" s="258">
        <v>1066.0</v>
      </c>
      <c r="B153" s="259">
        <v>1066.0</v>
      </c>
      <c r="C153" s="260">
        <v>149.0</v>
      </c>
      <c r="D153" s="260">
        <f>IFERROR(__xludf.DUMMYFUNCTION("if(B153&lt;=999,if(B153&lt;=99,IF(B153&lt;=9,join(,""000"",B153),join(,""00"",B153)),join(,""0"",B153)),B153)"),1066.0)</f>
        <v>1066</v>
      </c>
      <c r="E153" s="262" t="s">
        <v>380</v>
      </c>
      <c r="F153" s="263" t="str">
        <f>vlookup(B153,'Geotagging Master All-Training '!$A$2:$C$2474,2,false)</f>
        <v>#N/A</v>
      </c>
      <c r="G153" s="263" t="str">
        <f>vlookup(B153,'Geotagging Master All-Training '!$A$2:$C$2474,3,false)</f>
        <v>#N/A</v>
      </c>
      <c r="H153" s="265" t="s">
        <v>20</v>
      </c>
      <c r="I153" s="266">
        <v>80.0</v>
      </c>
    </row>
    <row r="154" hidden="1">
      <c r="A154" s="272">
        <v>1355.0</v>
      </c>
      <c r="B154" s="272">
        <v>1355.0</v>
      </c>
      <c r="C154" s="260">
        <v>150.0</v>
      </c>
      <c r="D154" s="273">
        <f>IFERROR(__xludf.DUMMYFUNCTION("if(B154&lt;=999,if(B154&lt;=99,IF(B154&lt;=9,join(,""000"",B154),join(,""00"",B154)),join(,""0"",B154)),B154)"),1355.0)</f>
        <v>1355</v>
      </c>
      <c r="E154" s="274" t="s">
        <v>384</v>
      </c>
      <c r="F154" s="263" t="str">
        <f>vlookup(B154,'Geotagging Master All-Training '!$A$2:$C$2474,2,false)</f>
        <v>#N/A</v>
      </c>
      <c r="G154" s="263" t="str">
        <f>vlookup(B154,'Geotagging Master All-Training '!$A$2:$C$2474,3,false)</f>
        <v>#N/A</v>
      </c>
      <c r="H154" s="276" t="s">
        <v>20</v>
      </c>
      <c r="I154" s="277">
        <v>80.0</v>
      </c>
    </row>
    <row r="155" hidden="1">
      <c r="A155" s="258">
        <v>1140.0</v>
      </c>
      <c r="B155" s="258">
        <v>1140.0</v>
      </c>
      <c r="C155" s="260">
        <v>151.0</v>
      </c>
      <c r="D155" s="260">
        <f>IFERROR(__xludf.DUMMYFUNCTION("if(B155&lt;=999,if(B155&lt;=99,IF(B155&lt;=9,join(,""000"",B155),join(,""00"",B155)),join(,""0"",B155)),B155)"),1140.0)</f>
        <v>1140</v>
      </c>
      <c r="E155" s="270" t="s">
        <v>385</v>
      </c>
      <c r="F155" s="263" t="str">
        <f>vlookup(B155,'Geotagging Master All-Training '!$A$2:$C$2474,2,false)</f>
        <v>#N/A</v>
      </c>
      <c r="G155" s="263" t="str">
        <f>vlookup(B155,'Geotagging Master All-Training '!$A$2:$C$2474,3,false)</f>
        <v>#N/A</v>
      </c>
      <c r="H155" s="265" t="s">
        <v>20</v>
      </c>
      <c r="I155" s="266"/>
    </row>
    <row r="156" hidden="1">
      <c r="A156" s="258">
        <v>1127.0</v>
      </c>
      <c r="B156" s="258">
        <v>1127.0</v>
      </c>
      <c r="C156" s="260">
        <v>152.0</v>
      </c>
      <c r="D156" s="260">
        <f>IFERROR(__xludf.DUMMYFUNCTION("if(B156&lt;=999,if(B156&lt;=99,IF(B156&lt;=9,join(,""000"",B156),join(,""00"",B156)),join(,""0"",B156)),B156)"),1127.0)</f>
        <v>1127</v>
      </c>
      <c r="E156" s="270" t="s">
        <v>392</v>
      </c>
      <c r="F156" s="263" t="str">
        <f>vlookup(B156,'Geotagging Master All-Training '!$A$2:$C$2474,2,false)</f>
        <v>#N/A</v>
      </c>
      <c r="G156" s="263" t="str">
        <f>vlookup(B156,'Geotagging Master All-Training '!$A$2:$C$2474,3,false)</f>
        <v>#N/A</v>
      </c>
      <c r="H156" s="265" t="s">
        <v>20</v>
      </c>
      <c r="I156" s="266"/>
    </row>
    <row r="157" hidden="1">
      <c r="A157" s="258">
        <v>1136.0</v>
      </c>
      <c r="B157" s="258">
        <v>1136.0</v>
      </c>
      <c r="C157" s="260">
        <v>153.0</v>
      </c>
      <c r="D157" s="260">
        <f>IFERROR(__xludf.DUMMYFUNCTION("if(B157&lt;=999,if(B157&lt;=99,IF(B157&lt;=9,join(,""000"",B157),join(,""00"",B157)),join(,""0"",B157)),B157)"),1136.0)</f>
        <v>1136</v>
      </c>
      <c r="E157" s="262" t="s">
        <v>395</v>
      </c>
      <c r="F157" s="263" t="str">
        <f>vlookup(B157,'Geotagging Master All-Training '!$A$2:$C$2474,2,false)</f>
        <v>#N/A</v>
      </c>
      <c r="G157" s="263" t="str">
        <f>vlookup(B157,'Geotagging Master All-Training '!$A$2:$C$2474,3,false)</f>
        <v>#N/A</v>
      </c>
      <c r="H157" s="265" t="s">
        <v>20</v>
      </c>
      <c r="I157" s="266" t="s">
        <v>397</v>
      </c>
    </row>
    <row r="158" hidden="1">
      <c r="A158" s="258">
        <v>1317.0</v>
      </c>
      <c r="B158" s="258">
        <v>1317.0</v>
      </c>
      <c r="C158" s="260">
        <v>154.0</v>
      </c>
      <c r="D158" s="260">
        <f>IFERROR(__xludf.DUMMYFUNCTION("if(B158&lt;=999,if(B158&lt;=99,IF(B158&lt;=9,join(,""000"",B158),join(,""00"",B158)),join(,""0"",B158)),B158)"),1317.0)</f>
        <v>1317</v>
      </c>
      <c r="E158" s="262" t="s">
        <v>399</v>
      </c>
      <c r="F158" s="263" t="str">
        <f>vlookup(B158,'Geotagging Master All-Training '!$A$2:$C$2474,2,false)</f>
        <v>#N/A</v>
      </c>
      <c r="G158" s="263" t="str">
        <f>vlookup(B158,'Geotagging Master All-Training '!$A$2:$C$2474,3,false)</f>
        <v>#N/A</v>
      </c>
      <c r="H158" s="265" t="s">
        <v>20</v>
      </c>
      <c r="I158" s="266">
        <v>80.0</v>
      </c>
    </row>
    <row r="159" hidden="1">
      <c r="A159" s="258">
        <v>1425.0</v>
      </c>
      <c r="B159" s="258">
        <v>1425.0</v>
      </c>
      <c r="C159" s="260">
        <v>155.0</v>
      </c>
      <c r="D159" s="260">
        <f>IFERROR(__xludf.DUMMYFUNCTION("if(B159&lt;=999,if(B159&lt;=99,IF(B159&lt;=9,join(,""000"",B159),join(,""00"",B159)),join(,""0"",B159)),B159)"),1425.0)</f>
        <v>1425</v>
      </c>
      <c r="E159" s="262" t="s">
        <v>401</v>
      </c>
      <c r="F159" s="263" t="str">
        <f>vlookup(B159,'Geotagging Master All-Training '!$A$2:$C$2474,2,false)</f>
        <v>#N/A</v>
      </c>
      <c r="G159" s="263" t="str">
        <f>vlookup(B159,'Geotagging Master All-Training '!$A$2:$C$2474,3,false)</f>
        <v>#N/A</v>
      </c>
      <c r="H159" s="265" t="s">
        <v>20</v>
      </c>
      <c r="I159" s="266">
        <v>80.0</v>
      </c>
    </row>
    <row r="160" hidden="1">
      <c r="A160" s="258">
        <v>1097.0</v>
      </c>
      <c r="B160" s="258">
        <v>1097.0</v>
      </c>
      <c r="C160" s="260">
        <v>156.0</v>
      </c>
      <c r="D160" s="260">
        <f>IFERROR(__xludf.DUMMYFUNCTION("if(B160&lt;=999,if(B160&lt;=99,IF(B160&lt;=9,join(,""000"",B160),join(,""00"",B160)),join(,""0"",B160)),B160)"),1097.0)</f>
        <v>1097</v>
      </c>
      <c r="E160" s="262" t="s">
        <v>403</v>
      </c>
      <c r="F160" s="263" t="str">
        <f>vlookup(B160,'Geotagging Master All-Training '!$A$2:$C$2474,2,false)</f>
        <v>#N/A</v>
      </c>
      <c r="G160" s="263" t="str">
        <f>vlookup(B160,'Geotagging Master All-Training '!$A$2:$C$2474,3,false)</f>
        <v>#N/A</v>
      </c>
      <c r="H160" s="265" t="s">
        <v>20</v>
      </c>
      <c r="I160" s="266">
        <v>16.0</v>
      </c>
    </row>
    <row r="161" hidden="1">
      <c r="A161" s="258">
        <v>1245.0</v>
      </c>
      <c r="B161" s="258">
        <v>1245.0</v>
      </c>
      <c r="C161" s="260">
        <v>157.0</v>
      </c>
      <c r="D161" s="260">
        <f>IFERROR(__xludf.DUMMYFUNCTION("if(B161&lt;=999,if(B161&lt;=99,IF(B161&lt;=9,join(,""000"",B161),join(,""00"",B161)),join(,""0"",B161)),B161)"),1245.0)</f>
        <v>1245</v>
      </c>
      <c r="E161" s="262" t="s">
        <v>407</v>
      </c>
      <c r="F161" s="263" t="str">
        <f>vlookup(B161,'Geotagging Master All-Training '!$A$2:$C$2474,2,false)</f>
        <v>#N/A</v>
      </c>
      <c r="G161" s="263" t="str">
        <f>vlookup(B161,'Geotagging Master All-Training '!$A$2:$C$2474,3,false)</f>
        <v>#N/A</v>
      </c>
      <c r="H161" s="265" t="s">
        <v>20</v>
      </c>
      <c r="I161" s="266">
        <v>16.0</v>
      </c>
    </row>
    <row r="162" hidden="1">
      <c r="A162" s="258">
        <v>1099.0</v>
      </c>
      <c r="B162" s="258">
        <v>1099.0</v>
      </c>
      <c r="C162" s="260">
        <v>158.0</v>
      </c>
      <c r="D162" s="260">
        <f>IFERROR(__xludf.DUMMYFUNCTION("if(B162&lt;=999,if(B162&lt;=99,IF(B162&lt;=9,join(,""000"",B162),join(,""00"",B162)),join(,""0"",B162)),B162)"),1099.0)</f>
        <v>1099</v>
      </c>
      <c r="E162" s="270" t="s">
        <v>408</v>
      </c>
      <c r="F162" s="263" t="str">
        <f>vlookup(B162,'Geotagging Master All-Training '!$A$2:$C$2474,2,false)</f>
        <v>#N/A</v>
      </c>
      <c r="G162" s="263" t="str">
        <f>vlookup(B162,'Geotagging Master All-Training '!$A$2:$C$2474,3,false)</f>
        <v>#N/A</v>
      </c>
      <c r="H162" s="265" t="s">
        <v>20</v>
      </c>
      <c r="I162" s="266" t="s">
        <v>410</v>
      </c>
    </row>
    <row r="163" hidden="1">
      <c r="A163" s="258">
        <v>1256.0</v>
      </c>
      <c r="B163" s="259">
        <v>1256.0</v>
      </c>
      <c r="C163" s="260">
        <v>159.0</v>
      </c>
      <c r="D163" s="260">
        <f>IFERROR(__xludf.DUMMYFUNCTION("if(B163&lt;=999,if(B163&lt;=99,IF(B163&lt;=9,join(,""000"",B163),join(,""00"",B163)),join(,""0"",B163)),B163)"),1256.0)</f>
        <v>1256</v>
      </c>
      <c r="E163" s="262" t="s">
        <v>411</v>
      </c>
      <c r="F163" s="263" t="str">
        <f>vlookup(B163,'Geotagging Master All-Training '!$A$2:$C$2474,2,false)</f>
        <v>#N/A</v>
      </c>
      <c r="G163" s="263" t="str">
        <f>vlookup(B163,'Geotagging Master All-Training '!$A$2:$C$2474,3,false)</f>
        <v>#N/A</v>
      </c>
      <c r="H163" s="265" t="s">
        <v>20</v>
      </c>
      <c r="I163" s="266" t="s">
        <v>410</v>
      </c>
    </row>
    <row r="164" hidden="1">
      <c r="A164" s="258">
        <v>742.0</v>
      </c>
      <c r="B164" s="258">
        <v>742.0</v>
      </c>
      <c r="C164" s="260">
        <v>161.0</v>
      </c>
      <c r="D164" s="260" t="str">
        <f>IFERROR(__xludf.DUMMYFUNCTION("if(B164&lt;=999,if(B164&lt;=99,IF(B164&lt;=9,join(,""000"",B164),join(,""00"",B164)),join(,""0"",B164)),B164)"),"0742")</f>
        <v>0742</v>
      </c>
      <c r="E164" s="262" t="s">
        <v>413</v>
      </c>
      <c r="F164" s="263" t="str">
        <f>vlookup(B164,'Geotagging Master All-Training '!$A$2:$C$2474,2,false)</f>
        <v>#N/A</v>
      </c>
      <c r="G164" s="263" t="str">
        <f>vlookup(B164,'Geotagging Master All-Training '!$A$2:$C$2474,3,false)</f>
        <v>#N/A</v>
      </c>
      <c r="H164" s="265" t="s">
        <v>20</v>
      </c>
      <c r="I164" s="266" t="s">
        <v>414</v>
      </c>
    </row>
    <row r="165" hidden="1">
      <c r="A165" s="258">
        <v>1064.0</v>
      </c>
      <c r="B165" s="258">
        <v>1064.0</v>
      </c>
      <c r="C165" s="260">
        <v>162.0</v>
      </c>
      <c r="D165" s="260">
        <f>IFERROR(__xludf.DUMMYFUNCTION("if(B165&lt;=999,if(B165&lt;=99,IF(B165&lt;=9,join(,""000"",B165),join(,""00"",B165)),join(,""0"",B165)),B165)"),1064.0)</f>
        <v>1064</v>
      </c>
      <c r="E165" s="270" t="s">
        <v>100</v>
      </c>
      <c r="F165" s="263" t="str">
        <f>vlookup(B165,'Geotagging Master All-Training '!$A$2:$C$2474,2,false)</f>
        <v>#N/A</v>
      </c>
      <c r="G165" s="263" t="str">
        <f>vlookup(B165,'Geotagging Master All-Training '!$A$2:$C$2474,3,false)</f>
        <v>#N/A</v>
      </c>
      <c r="H165" s="265" t="s">
        <v>20</v>
      </c>
      <c r="I165" s="266" t="s">
        <v>103</v>
      </c>
    </row>
    <row r="166" hidden="1">
      <c r="A166" s="258">
        <v>243.0</v>
      </c>
      <c r="B166" s="258">
        <v>243.0</v>
      </c>
      <c r="C166" s="260">
        <v>163.0</v>
      </c>
      <c r="D166" s="260">
        <v>24.0</v>
      </c>
      <c r="E166" s="262" t="s">
        <v>418</v>
      </c>
      <c r="F166" s="263" t="str">
        <f>vlookup(B166,'Geotagging Master All-Training '!$A$2:$C$2474,2,false)</f>
        <v>#N/A</v>
      </c>
      <c r="G166" s="263" t="str">
        <f>vlookup(B166,'Geotagging Master All-Training '!$A$2:$C$2474,3,false)</f>
        <v>#N/A</v>
      </c>
      <c r="H166" s="265" t="s">
        <v>20</v>
      </c>
      <c r="I166" s="266">
        <v>18.0</v>
      </c>
    </row>
    <row r="167" hidden="1">
      <c r="A167" s="258">
        <v>217.0</v>
      </c>
      <c r="B167" s="258">
        <v>217.0</v>
      </c>
      <c r="C167" s="260">
        <v>164.0</v>
      </c>
      <c r="D167" s="260" t="str">
        <f>IFERROR(__xludf.DUMMYFUNCTION("if(B167&lt;=999,if(B167&lt;=99,IF(B167&lt;=9,join(,""000"",B167),join(,""00"",B167)),join(,""0"",B167)),B167)"),"0217")</f>
        <v>0217</v>
      </c>
      <c r="E167" s="270" t="s">
        <v>449</v>
      </c>
      <c r="F167" s="263" t="str">
        <f>vlookup(B167,'Geotagging Master All-Training '!$A$2:$C$2474,2,false)</f>
        <v>#N/A</v>
      </c>
      <c r="G167" s="263" t="str">
        <f>vlookup(B167,'Geotagging Master All-Training '!$A$2:$C$2474,3,false)</f>
        <v>#N/A</v>
      </c>
      <c r="H167" s="265" t="s">
        <v>20</v>
      </c>
      <c r="I167" s="266" t="s">
        <v>450</v>
      </c>
    </row>
    <row r="168" hidden="1">
      <c r="A168" s="258">
        <v>44.0</v>
      </c>
      <c r="B168" s="259">
        <v>44.0</v>
      </c>
      <c r="C168" s="260">
        <v>165.0</v>
      </c>
      <c r="D168" s="260" t="str">
        <f>IFERROR(__xludf.DUMMYFUNCTION("if(B168&lt;=999,if(B168&lt;=99,IF(B168&lt;=9,join(,""000"",B168),join(,""00"",B168)),join(,""0"",B168)),B168)"),"0044")</f>
        <v>0044</v>
      </c>
      <c r="E168" s="262" t="s">
        <v>423</v>
      </c>
      <c r="F168" s="263" t="str">
        <f>vlookup(B168,'Geotagging Master All-Training '!$A$2:$C$2474,2,false)</f>
        <v>#N/A</v>
      </c>
      <c r="G168" s="263" t="str">
        <f>vlookup(B168,'Geotagging Master All-Training '!$A$2:$C$2474,3,false)</f>
        <v>#N/A</v>
      </c>
      <c r="H168" s="265" t="s">
        <v>20</v>
      </c>
      <c r="I168" s="266" t="s">
        <v>425</v>
      </c>
    </row>
    <row r="169" hidden="1">
      <c r="A169" s="258">
        <v>803.0</v>
      </c>
      <c r="B169" s="258">
        <v>803.0</v>
      </c>
      <c r="C169" s="260">
        <v>166.0</v>
      </c>
      <c r="D169" s="260" t="str">
        <f>IFERROR(__xludf.DUMMYFUNCTION("if(B169&lt;=999,if(B169&lt;=99,IF(B169&lt;=9,join(,""000"",B169),join(,""00"",B169)),join(,""0"",B169)),B169)"),"0803")</f>
        <v>0803</v>
      </c>
      <c r="E169" s="262" t="s">
        <v>427</v>
      </c>
      <c r="F169" s="263" t="str">
        <f>vlookup(B169,'Geotagging Master All-Training '!$A$2:$C$2474,2,false)</f>
        <v>#N/A</v>
      </c>
      <c r="G169" s="263" t="str">
        <f>vlookup(B169,'Geotagging Master All-Training '!$A$2:$C$2474,3,false)</f>
        <v>#N/A</v>
      </c>
      <c r="H169" s="265" t="s">
        <v>20</v>
      </c>
      <c r="I169" s="266">
        <v>25001.0</v>
      </c>
    </row>
    <row r="170" hidden="1">
      <c r="A170" s="272">
        <v>56.0</v>
      </c>
      <c r="B170" s="272">
        <v>56.0</v>
      </c>
      <c r="C170" s="273">
        <v>174.0</v>
      </c>
      <c r="D170" s="273" t="str">
        <f>IFERROR(__xludf.DUMMYFUNCTION("if(B170&lt;=999,if(B170&lt;=99,IF(B170&lt;=9,join(,""000"",B170),join(,""00"",B170)),join(,""0"",B170)),B170)"),"0056")</f>
        <v>0056</v>
      </c>
      <c r="E170" s="304" t="s">
        <v>466</v>
      </c>
      <c r="F170" s="303" t="str">
        <f>vlookup(B170,'Geotagging Master All-Training '!$A$2:$C$2474,2,false)</f>
        <v>#N/A</v>
      </c>
      <c r="G170" s="303" t="str">
        <f>vlookup(B170,'Geotagging Master All-Training '!$A$2:$C$2474,3,false)</f>
        <v>#N/A</v>
      </c>
      <c r="H170" s="276" t="s">
        <v>20</v>
      </c>
      <c r="I170" s="277" t="e">
        <v>#N/A</v>
      </c>
    </row>
    <row r="171" hidden="1">
      <c r="A171" s="272">
        <v>453.0</v>
      </c>
      <c r="B171" s="272">
        <v>453.0</v>
      </c>
      <c r="C171" s="260">
        <v>168.0</v>
      </c>
      <c r="D171" s="273"/>
      <c r="E171" s="274" t="s">
        <v>431</v>
      </c>
      <c r="F171" s="263" t="str">
        <f>vlookup(B171,'Geotagging Master All-Training '!$A$2:$C$2474,2,false)</f>
        <v>#N/A</v>
      </c>
      <c r="G171" s="263" t="str">
        <f>vlookup(B171,'Geotagging Master All-Training '!$A$2:$C$2474,3,false)</f>
        <v>#N/A</v>
      </c>
      <c r="H171" s="276" t="s">
        <v>20</v>
      </c>
      <c r="I171" s="277">
        <v>80.0</v>
      </c>
    </row>
    <row r="172" hidden="1">
      <c r="A172" s="258">
        <v>1060.0</v>
      </c>
      <c r="B172" s="258">
        <v>1060.0</v>
      </c>
      <c r="C172" s="260">
        <v>169.0</v>
      </c>
      <c r="D172" s="260">
        <f>IFERROR(__xludf.DUMMYFUNCTION("if(B172&lt;=999,if(B172&lt;=99,IF(B172&lt;=9,join(,""000"",B172),join(,""00"",B172)),join(,""0"",B172)),B172)"),1060.0)</f>
        <v>1060</v>
      </c>
      <c r="E172" s="262" t="s">
        <v>433</v>
      </c>
      <c r="F172" s="263" t="str">
        <f>vlookup(B172,'Geotagging Master All-Training '!$A$2:$C$2474,2,false)</f>
        <v>#N/A</v>
      </c>
      <c r="G172" s="263" t="str">
        <f>vlookup(B172,'Geotagging Master All-Training '!$A$2:$C$2474,3,false)</f>
        <v>#N/A</v>
      </c>
      <c r="H172" s="265" t="s">
        <v>20</v>
      </c>
      <c r="I172" s="266">
        <v>9030.0</v>
      </c>
    </row>
    <row r="173" hidden="1">
      <c r="A173" s="258">
        <v>1092.0</v>
      </c>
      <c r="B173" s="258">
        <v>1092.0</v>
      </c>
      <c r="C173" s="260">
        <v>170.0</v>
      </c>
      <c r="D173" s="260">
        <f>IFERROR(__xludf.DUMMYFUNCTION("if(B173&lt;=999,if(B173&lt;=99,IF(B173&lt;=9,join(,""000"",B173),join(,""00"",B173)),join(,""0"",B173)),B173)"),1092.0)</f>
        <v>1092</v>
      </c>
      <c r="E173" s="262" t="s">
        <v>436</v>
      </c>
      <c r="F173" s="263" t="str">
        <f>vlookup(B173,'Geotagging Master All-Training '!$A$2:$C$2474,2,false)</f>
        <v>#N/A</v>
      </c>
      <c r="G173" s="263" t="str">
        <f>vlookup(B173,'Geotagging Master All-Training '!$A$2:$C$2474,3,false)</f>
        <v>#N/A</v>
      </c>
      <c r="H173" s="265" t="s">
        <v>20</v>
      </c>
      <c r="I173" s="266">
        <v>9030.0</v>
      </c>
    </row>
    <row r="174" hidden="1">
      <c r="A174" s="258">
        <v>215.0</v>
      </c>
      <c r="B174" s="258">
        <v>215.0</v>
      </c>
      <c r="C174" s="260">
        <v>171.0</v>
      </c>
      <c r="D174" s="260" t="str">
        <f>IFERROR(__xludf.DUMMYFUNCTION("if(B174&lt;=999,if(B174&lt;=99,IF(B174&lt;=9,join(,""000"",B174),join(,""00"",B174)),join(,""0"",B174)),B174)"),"0215")</f>
        <v>0215</v>
      </c>
      <c r="E174" s="262" t="s">
        <v>437</v>
      </c>
      <c r="F174" s="263" t="str">
        <f>vlookup(B174,'Geotagging Master All-Training '!$A$2:$C$2474,2,false)</f>
        <v>#N/A</v>
      </c>
      <c r="G174" s="263" t="str">
        <f>vlookup(B174,'Geotagging Master All-Training '!$A$2:$C$2474,3,false)</f>
        <v>#N/A</v>
      </c>
      <c r="H174" s="265" t="s">
        <v>20</v>
      </c>
      <c r="I174" s="266" t="s">
        <v>439</v>
      </c>
    </row>
    <row r="175" hidden="1">
      <c r="A175" s="258">
        <v>691.0</v>
      </c>
      <c r="B175" s="259">
        <v>691.0</v>
      </c>
      <c r="C175" s="260">
        <v>172.0</v>
      </c>
      <c r="D175" s="260" t="str">
        <f>IFERROR(__xludf.DUMMYFUNCTION("if(B175&lt;=999,if(B175&lt;=99,IF(B175&lt;=9,join(,""000"",B175),join(,""00"",B175)),join(,""0"",B175)),B175)"),"0691")</f>
        <v>0691</v>
      </c>
      <c r="E175" s="262" t="s">
        <v>441</v>
      </c>
      <c r="F175" s="263" t="str">
        <f>vlookup(B175,'Geotagging Master All-Training '!$A$2:$C$2474,2,false)</f>
        <v>#N/A</v>
      </c>
      <c r="G175" s="263" t="str">
        <f>vlookup(B175,'Geotagging Master All-Training '!$A$2:$C$2474,3,false)</f>
        <v>#N/A</v>
      </c>
      <c r="H175" s="265" t="s">
        <v>20</v>
      </c>
      <c r="I175" s="266" t="s">
        <v>443</v>
      </c>
    </row>
    <row r="176" hidden="1">
      <c r="A176" s="258">
        <v>1251.0</v>
      </c>
      <c r="B176" s="258">
        <v>1251.0</v>
      </c>
      <c r="C176" s="260">
        <v>173.0</v>
      </c>
      <c r="D176" s="260">
        <f>IFERROR(__xludf.DUMMYFUNCTION("if(B176&lt;=999,if(B176&lt;=99,IF(B176&lt;=9,join(,""000"",B176),join(,""00"",B176)),join(,""0"",B176)),B176)"),1251.0)</f>
        <v>1251</v>
      </c>
      <c r="E176" s="262" t="s">
        <v>446</v>
      </c>
      <c r="F176" s="263" t="str">
        <f>vlookup(B176,'Geotagging Master All-Training '!$A$2:$C$2474,2,false)</f>
        <v>#N/A</v>
      </c>
      <c r="G176" s="263" t="str">
        <f>vlookup(B176,'Geotagging Master All-Training '!$A$2:$C$2474,3,false)</f>
        <v>#N/A</v>
      </c>
      <c r="H176" s="265" t="s">
        <v>20</v>
      </c>
      <c r="I176" s="266">
        <v>80.0</v>
      </c>
    </row>
    <row r="177" hidden="1">
      <c r="A177" s="258">
        <v>910.0</v>
      </c>
      <c r="B177" s="258">
        <v>910.0</v>
      </c>
      <c r="C177" s="260">
        <v>175.0</v>
      </c>
      <c r="D177" s="260" t="str">
        <f>IFERROR(__xludf.DUMMYFUNCTION("if(B177&lt;=999,if(B177&lt;=99,IF(B177&lt;=9,join(,""000"",B177),join(,""00"",B177)),join(,""0"",B177)),B177)"),"0910")</f>
        <v>0910</v>
      </c>
      <c r="E177" s="262" t="s">
        <v>452</v>
      </c>
      <c r="F177" s="263" t="str">
        <f>vlookup(B177,'Geotagging Master All-Training '!$A$2:$C$2474,2,false)</f>
        <v>#N/A</v>
      </c>
      <c r="G177" s="263" t="str">
        <f>vlookup(B177,'Geotagging Master All-Training '!$A$2:$C$2474,3,false)</f>
        <v>#N/A</v>
      </c>
      <c r="H177" s="265" t="s">
        <v>20</v>
      </c>
      <c r="I177" s="266" t="s">
        <v>453</v>
      </c>
    </row>
    <row r="178" hidden="1">
      <c r="A178" s="258">
        <v>346.0</v>
      </c>
      <c r="B178" s="259">
        <v>346.0</v>
      </c>
      <c r="C178" s="260">
        <v>176.0</v>
      </c>
      <c r="D178" s="260" t="str">
        <f>IFERROR(__xludf.DUMMYFUNCTION("if(B178&lt;=999,if(B178&lt;=99,IF(B178&lt;=9,join(,""000"",B178),join(,""00"",B178)),join(,""0"",B178)),B178)"),"0346")</f>
        <v>0346</v>
      </c>
      <c r="E178" s="270" t="s">
        <v>455</v>
      </c>
      <c r="F178" s="263" t="str">
        <f>vlookup(B178,'Geotagging Master All-Training '!$A$2:$C$2474,2,false)</f>
        <v>#N/A</v>
      </c>
      <c r="G178" s="263" t="str">
        <f>vlookup(B178,'Geotagging Master All-Training '!$A$2:$C$2474,3,false)</f>
        <v>#N/A</v>
      </c>
      <c r="H178" s="265" t="s">
        <v>20</v>
      </c>
      <c r="I178" s="266">
        <v>8000.0</v>
      </c>
    </row>
    <row r="179" hidden="1">
      <c r="A179" s="258">
        <v>537.0</v>
      </c>
      <c r="B179" s="258">
        <v>537.0</v>
      </c>
      <c r="C179" s="260">
        <v>177.0</v>
      </c>
      <c r="D179" s="260" t="str">
        <f>IFERROR(__xludf.DUMMYFUNCTION("if(B179&lt;=999,if(B179&lt;=99,IF(B179&lt;=9,join(,""000"",B179),join(,""00"",B179)),join(,""0"",B179)),B179)"),"0537")</f>
        <v>0537</v>
      </c>
      <c r="E179" s="262" t="s">
        <v>456</v>
      </c>
      <c r="F179" s="263" t="str">
        <f>vlookup(B179,'Geotagging Master All-Training '!$A$2:$C$2474,2,false)</f>
        <v>#N/A</v>
      </c>
      <c r="G179" s="263" t="str">
        <f>vlookup(B179,'Geotagging Master All-Training '!$A$2:$C$2474,3,false)</f>
        <v>#N/A</v>
      </c>
      <c r="H179" s="265" t="s">
        <v>20</v>
      </c>
      <c r="I179" s="266" t="s">
        <v>458</v>
      </c>
    </row>
    <row r="180" hidden="1">
      <c r="A180" s="258">
        <v>1274.0</v>
      </c>
      <c r="B180" s="258">
        <v>1274.0</v>
      </c>
      <c r="C180" s="260">
        <v>178.0</v>
      </c>
      <c r="D180" s="260">
        <f>IFERROR(__xludf.DUMMYFUNCTION("if(B180&lt;=999,if(B180&lt;=99,IF(B180&lt;=9,join(,""000"",B180),join(,""00"",B180)),join(,""0"",B180)),B180)"),1274.0)</f>
        <v>1274</v>
      </c>
      <c r="E180" s="262" t="s">
        <v>459</v>
      </c>
      <c r="F180" s="263" t="str">
        <f>vlookup(B180,'Geotagging Master All-Training '!$A$2:$C$2474,2,false)</f>
        <v>#N/A</v>
      </c>
      <c r="G180" s="263" t="str">
        <f>vlookup(B180,'Geotagging Master All-Training '!$A$2:$C$2474,3,false)</f>
        <v>#N/A</v>
      </c>
      <c r="H180" s="265" t="s">
        <v>20</v>
      </c>
      <c r="I180" s="266">
        <v>81.0</v>
      </c>
    </row>
    <row r="181" hidden="1">
      <c r="A181" s="258">
        <v>1268.0</v>
      </c>
      <c r="B181" s="259">
        <v>1268.0</v>
      </c>
      <c r="C181" s="260">
        <v>179.0</v>
      </c>
      <c r="D181" s="260">
        <f>IFERROR(__xludf.DUMMYFUNCTION("if(B181&lt;=999,if(B181&lt;=99,IF(B181&lt;=9,join(,""000"",B181),join(,""00"",B181)),join(,""0"",B181)),B181)"),1268.0)</f>
        <v>1268</v>
      </c>
      <c r="E181" s="262" t="s">
        <v>460</v>
      </c>
      <c r="F181" s="263" t="str">
        <f>vlookup(B181,'Geotagging Master All-Training '!$A$2:$C$2474,2,false)</f>
        <v>#N/A</v>
      </c>
      <c r="G181" s="263" t="str">
        <f>vlookup(B181,'Geotagging Master All-Training '!$A$2:$C$2474,3,false)</f>
        <v>#N/A</v>
      </c>
      <c r="H181" s="265" t="s">
        <v>20</v>
      </c>
      <c r="I181" s="266">
        <v>81.0</v>
      </c>
    </row>
    <row r="182" hidden="1">
      <c r="A182" s="258">
        <v>808.0</v>
      </c>
      <c r="B182" s="258">
        <v>808.0</v>
      </c>
      <c r="C182" s="260">
        <v>180.0</v>
      </c>
      <c r="D182" s="260" t="str">
        <f>IFERROR(__xludf.DUMMYFUNCTION("if(B182&lt;=999,if(B182&lt;=99,IF(B182&lt;=9,join(,""000"",B182),join(,""00"",B182)),join(,""0"",B182)),B182)"),"0808")</f>
        <v>0808</v>
      </c>
      <c r="E182" s="270" t="s">
        <v>718</v>
      </c>
      <c r="F182" s="263" t="str">
        <f>vlookup(B182,'Geotagging Master All-Training '!$A$2:$C$2474,2,false)</f>
        <v>#N/A</v>
      </c>
      <c r="G182" s="263" t="str">
        <f>vlookup(B182,'Geotagging Master All-Training '!$A$2:$C$2474,3,false)</f>
        <v>#N/A</v>
      </c>
      <c r="H182" s="265" t="s">
        <v>20</v>
      </c>
      <c r="I182" s="266">
        <v>16.0</v>
      </c>
    </row>
    <row r="183" hidden="1">
      <c r="A183" s="272">
        <v>123.0</v>
      </c>
      <c r="B183" s="272">
        <v>123.0</v>
      </c>
      <c r="C183" s="273">
        <v>183.0</v>
      </c>
      <c r="D183" s="273" t="str">
        <f>IFERROR(__xludf.DUMMYFUNCTION("if(B183&lt;=999,if(B183&lt;=99,IF(B183&lt;=9,join(,""000"",B183),join(,""00"",B183)),join(,""0"",B183)),B183)"),"0123")</f>
        <v>0123</v>
      </c>
      <c r="E183" s="304" t="s">
        <v>465</v>
      </c>
      <c r="F183" s="303" t="str">
        <f>vlookup(B183,'Geotagging Master All-Training '!$A$2:$C$2474,2,false)</f>
        <v>#N/A</v>
      </c>
      <c r="G183" s="303" t="str">
        <f>vlookup(B183,'Geotagging Master All-Training '!$A$2:$C$2474,3,false)</f>
        <v>#N/A</v>
      </c>
      <c r="H183" s="276" t="s">
        <v>20</v>
      </c>
      <c r="I183" s="277" t="e">
        <v>#N/A</v>
      </c>
    </row>
    <row r="184" hidden="1">
      <c r="A184" s="258">
        <v>35.0</v>
      </c>
      <c r="B184" s="258">
        <v>35.0</v>
      </c>
      <c r="C184" s="260">
        <v>184.0</v>
      </c>
      <c r="D184" s="260" t="str">
        <f>IFERROR(__xludf.DUMMYFUNCTION("if(B184&lt;=999,if(B184&lt;=99,IF(B184&lt;=9,join(,""000"",B184),join(,""00"",B184)),join(,""0"",B184)),B184)"),"0035")</f>
        <v>0035</v>
      </c>
      <c r="E184" s="262" t="s">
        <v>730</v>
      </c>
      <c r="F184" s="263" t="str">
        <f>vlookup(B184,'Geotagging Master All-Training '!$A$2:$C$2474,2,false)</f>
        <v>#N/A</v>
      </c>
      <c r="G184" s="263" t="str">
        <f>vlookup(B184,'Geotagging Master All-Training '!$A$2:$C$2474,3,false)</f>
        <v>#N/A</v>
      </c>
      <c r="H184" s="265" t="s">
        <v>20</v>
      </c>
      <c r="I184" s="266">
        <v>20.0</v>
      </c>
    </row>
    <row r="185" hidden="1">
      <c r="A185" s="258">
        <v>1409.0</v>
      </c>
      <c r="B185" s="258">
        <v>1409.0</v>
      </c>
      <c r="C185" s="260">
        <v>185.0</v>
      </c>
      <c r="D185" s="260">
        <f>IFERROR(__xludf.DUMMYFUNCTION("if(B185&lt;=999,if(B185&lt;=99,IF(B185&lt;=9,join(,""000"",B185),join(,""00"",B185)),join(,""0"",B185)),B185)"),1409.0)</f>
        <v>1409</v>
      </c>
      <c r="E185" s="262" t="s">
        <v>467</v>
      </c>
      <c r="F185" s="263" t="str">
        <f>vlookup(B185,'Geotagging Master All-Training '!$A$2:$C$2474,2,false)</f>
        <v>#N/A</v>
      </c>
      <c r="G185" s="263" t="str">
        <f>vlookup(B185,'Geotagging Master All-Training '!$A$2:$C$2474,3,false)</f>
        <v>#N/A</v>
      </c>
      <c r="H185" s="265" t="s">
        <v>20</v>
      </c>
      <c r="I185" s="266" t="s">
        <v>469</v>
      </c>
    </row>
    <row r="186" hidden="1">
      <c r="A186" s="258">
        <v>1275.0</v>
      </c>
      <c r="B186" s="259">
        <v>1275.0</v>
      </c>
      <c r="C186" s="260">
        <v>186.0</v>
      </c>
      <c r="D186" s="260">
        <f>IFERROR(__xludf.DUMMYFUNCTION("if(B186&lt;=999,if(B186&lt;=99,IF(B186&lt;=9,join(,""000"",B186),join(,""00"",B186)),join(,""0"",B186)),B186)"),1275.0)</f>
        <v>1275</v>
      </c>
      <c r="E186" s="270" t="s">
        <v>473</v>
      </c>
      <c r="F186" s="263" t="str">
        <f>vlookup(B186,'Geotagging Master All-Training '!$A$2:$C$2474,2,false)</f>
        <v>#N/A</v>
      </c>
      <c r="G186" s="263" t="str">
        <f>vlookup(B186,'Geotagging Master All-Training '!$A$2:$C$2474,3,false)</f>
        <v>#N/A</v>
      </c>
      <c r="H186" s="265" t="s">
        <v>20</v>
      </c>
      <c r="I186" s="266"/>
    </row>
    <row r="187" hidden="1">
      <c r="A187" s="258">
        <v>1289.0</v>
      </c>
      <c r="B187" s="259">
        <v>1289.0</v>
      </c>
      <c r="C187" s="260">
        <v>187.0</v>
      </c>
      <c r="D187" s="260">
        <f>IFERROR(__xludf.DUMMYFUNCTION("if(B187&lt;=999,if(B187&lt;=99,IF(B187&lt;=9,join(,""000"",B187),join(,""00"",B187)),join(,""0"",B187)),B187)"),1289.0)</f>
        <v>1289</v>
      </c>
      <c r="E187" s="270" t="s">
        <v>474</v>
      </c>
      <c r="F187" s="263" t="str">
        <f>vlookup(B187,'Geotagging Master All-Training '!$A$2:$C$2474,2,false)</f>
        <v>#N/A</v>
      </c>
      <c r="G187" s="263" t="str">
        <f>vlookup(B187,'Geotagging Master All-Training '!$A$2:$C$2474,3,false)</f>
        <v>#N/A</v>
      </c>
      <c r="H187" s="265" t="s">
        <v>20</v>
      </c>
      <c r="I187" s="266">
        <v>2.0</v>
      </c>
    </row>
    <row r="188" hidden="1">
      <c r="A188" s="258">
        <v>1238.0</v>
      </c>
      <c r="B188" s="258">
        <v>1238.0</v>
      </c>
      <c r="C188" s="260">
        <v>188.0</v>
      </c>
      <c r="D188" s="260">
        <f>IFERROR(__xludf.DUMMYFUNCTION("if(B188&lt;=999,if(B188&lt;=99,IF(B188&lt;=9,join(,""000"",B188),join(,""00"",B188)),join(,""0"",B188)),B188)"),1238.0)</f>
        <v>1238</v>
      </c>
      <c r="E188" s="270" t="s">
        <v>476</v>
      </c>
      <c r="F188" s="263" t="str">
        <f>vlookup(B188,'Geotagging Master All-Training '!$A$2:$C$2474,2,false)</f>
        <v>#N/A</v>
      </c>
      <c r="G188" s="263" t="str">
        <f>vlookup(B188,'Geotagging Master All-Training '!$A$2:$C$2474,3,false)</f>
        <v>#N/A</v>
      </c>
      <c r="H188" s="265" t="s">
        <v>20</v>
      </c>
      <c r="I188" s="266">
        <v>7000.0</v>
      </c>
    </row>
    <row r="189" hidden="1">
      <c r="A189" s="272">
        <v>1041.0</v>
      </c>
      <c r="B189" s="272">
        <v>1041.0</v>
      </c>
      <c r="C189" s="260">
        <v>189.0</v>
      </c>
      <c r="D189" s="314">
        <f>IFERROR(__xludf.DUMMYFUNCTION("if(B189&lt;=999,if(B189&lt;=99,IF(B189&lt;=9,join(,""000"",B189),join(,""00"",B189)),join(,""0"",B189)),B189)"),1041.0)</f>
        <v>1041</v>
      </c>
      <c r="E189" s="274" t="s">
        <v>477</v>
      </c>
      <c r="F189" s="263" t="str">
        <f>vlookup(B189,'Geotagging Master All-Training '!$A$2:$C$2474,2,false)</f>
        <v>#N/A</v>
      </c>
      <c r="G189" s="263" t="str">
        <f>vlookup(B189,'Geotagging Master All-Training '!$A$2:$C$2474,3,false)</f>
        <v>#N/A</v>
      </c>
      <c r="H189" s="276" t="s">
        <v>20</v>
      </c>
      <c r="I189" s="277">
        <v>25001.0</v>
      </c>
    </row>
    <row r="190" hidden="1">
      <c r="A190" s="258">
        <v>1442.0</v>
      </c>
      <c r="B190" s="259">
        <v>1442.0</v>
      </c>
      <c r="C190" s="260">
        <v>190.0</v>
      </c>
      <c r="D190" s="260">
        <f>IFERROR(__xludf.DUMMYFUNCTION("if(B190&lt;=999,if(B190&lt;=99,IF(B190&lt;=9,join(,""000"",B190),join(,""00"",B190)),join(,""0"",B190)),B190)"),1442.0)</f>
        <v>1442</v>
      </c>
      <c r="E190" s="270" t="s">
        <v>479</v>
      </c>
      <c r="F190" s="263" t="str">
        <f>vlookup(B190,'Geotagging Master All-Training '!$A$2:$C$2474,2,false)</f>
        <v>#N/A</v>
      </c>
      <c r="G190" s="263" t="str">
        <f>vlookup(B190,'Geotagging Master All-Training '!$A$2:$C$2474,3,false)</f>
        <v>#N/A</v>
      </c>
      <c r="H190" s="265" t="s">
        <v>20</v>
      </c>
      <c r="I190" s="266">
        <v>32.0</v>
      </c>
    </row>
    <row r="191" hidden="1">
      <c r="A191" s="258">
        <v>1342.0</v>
      </c>
      <c r="B191" s="258">
        <v>1342.0</v>
      </c>
      <c r="C191" s="260">
        <v>191.0</v>
      </c>
      <c r="D191" s="260">
        <f>IFERROR(__xludf.DUMMYFUNCTION("if(B191&lt;=999,if(B191&lt;=99,IF(B191&lt;=9,join(,""000"",B191),join(,""00"",B191)),join(,""0"",B191)),B191)"),1342.0)</f>
        <v>1342</v>
      </c>
      <c r="E191" s="262" t="s">
        <v>482</v>
      </c>
      <c r="F191" s="263" t="str">
        <f>vlookup(B191,'Geotagging Master All-Training '!$A$2:$C$2474,2,false)</f>
        <v>#N/A</v>
      </c>
      <c r="G191" s="263" t="str">
        <f>vlookup(B191,'Geotagging Master All-Training '!$A$2:$C$2474,3,false)</f>
        <v>#N/A</v>
      </c>
      <c r="H191" s="265" t="s">
        <v>20</v>
      </c>
      <c r="I191" s="266" t="s">
        <v>484</v>
      </c>
    </row>
    <row r="192" hidden="1">
      <c r="A192" s="258">
        <v>1102.0</v>
      </c>
      <c r="B192" s="258">
        <v>1102.0</v>
      </c>
      <c r="C192" s="260">
        <v>192.0</v>
      </c>
      <c r="D192" s="260">
        <f>IFERROR(__xludf.DUMMYFUNCTION("if(B192&lt;=999,if(B192&lt;=99,IF(B192&lt;=9,join(,""000"",B192),join(,""00"",B192)),join(,""0"",B192)),B192)"),1102.0)</f>
        <v>1102</v>
      </c>
      <c r="E192" s="262" t="s">
        <v>486</v>
      </c>
      <c r="F192" s="263" t="str">
        <f>vlookup(B192,'Geotagging Master All-Training '!$A$2:$C$2474,2,false)</f>
        <v>#N/A</v>
      </c>
      <c r="G192" s="263" t="str">
        <f>vlookup(B192,'Geotagging Master All-Training '!$A$2:$C$2474,3,false)</f>
        <v>#N/A</v>
      </c>
      <c r="H192" s="265" t="s">
        <v>20</v>
      </c>
      <c r="I192" s="266">
        <v>80.0</v>
      </c>
    </row>
    <row r="193" hidden="1">
      <c r="A193" s="258">
        <v>1199.0</v>
      </c>
      <c r="B193" s="258">
        <v>1199.0</v>
      </c>
      <c r="C193" s="260">
        <v>193.0</v>
      </c>
      <c r="D193" s="260">
        <f>IFERROR(__xludf.DUMMYFUNCTION("if(B193&lt;=999,if(B193&lt;=99,IF(B193&lt;=9,join(,""000"",B193),join(,""00"",B193)),join(,""0"",B193)),B193)"),1199.0)</f>
        <v>1199</v>
      </c>
      <c r="E193" s="270" t="s">
        <v>489</v>
      </c>
      <c r="F193" s="263" t="str">
        <f>vlookup(B193,'Geotagging Master All-Training '!$A$2:$C$2474,2,false)</f>
        <v>#N/A</v>
      </c>
      <c r="G193" s="263" t="str">
        <f>vlookup(B193,'Geotagging Master All-Training '!$A$2:$C$2474,3,false)</f>
        <v>#N/A</v>
      </c>
      <c r="H193" s="265" t="s">
        <v>20</v>
      </c>
      <c r="I193" s="266">
        <v>25.0</v>
      </c>
    </row>
    <row r="194" hidden="1">
      <c r="A194" s="258">
        <v>1378.0</v>
      </c>
      <c r="B194" s="258">
        <v>1378.0</v>
      </c>
      <c r="C194" s="260">
        <v>194.0</v>
      </c>
      <c r="D194" s="260">
        <f>IFERROR(__xludf.DUMMYFUNCTION("if(B194&lt;=999,if(B194&lt;=99,IF(B194&lt;=9,join(,""000"",B194),join(,""00"",B194)),join(,""0"",B194)),B194)"),1378.0)</f>
        <v>1378</v>
      </c>
      <c r="E194" s="270" t="s">
        <v>490</v>
      </c>
      <c r="F194" s="263" t="str">
        <f>vlookup(B194,'Geotagging Master All-Training '!$A$2:$C$2474,2,false)</f>
        <v>#N/A</v>
      </c>
      <c r="G194" s="263" t="str">
        <f>vlookup(B194,'Geotagging Master All-Training '!$A$2:$C$2474,3,false)</f>
        <v>#N/A</v>
      </c>
      <c r="H194" s="265" t="s">
        <v>20</v>
      </c>
      <c r="I194" s="266" t="e">
        <v>#N/A</v>
      </c>
    </row>
    <row r="195" hidden="1">
      <c r="A195" s="258">
        <v>1283.0</v>
      </c>
      <c r="B195" s="258">
        <v>1283.0</v>
      </c>
      <c r="C195" s="260">
        <v>195.0</v>
      </c>
      <c r="D195" s="260">
        <f>IFERROR(__xludf.DUMMYFUNCTION("if(B195&lt;=999,if(B195&lt;=99,IF(B195&lt;=9,join(,""000"",B195),join(,""00"",B195)),join(,""0"",B195)),B195)"),1283.0)</f>
        <v>1283</v>
      </c>
      <c r="E195" s="270" t="s">
        <v>491</v>
      </c>
      <c r="F195" s="263" t="str">
        <f>vlookup(B195,'Geotagging Master All-Training '!$A$2:$C$2474,2,false)</f>
        <v>#N/A</v>
      </c>
      <c r="G195" s="263" t="str">
        <f>vlookup(B195,'Geotagging Master All-Training '!$A$2:$C$2474,3,false)</f>
        <v>#N/A</v>
      </c>
      <c r="H195" s="265" t="s">
        <v>20</v>
      </c>
      <c r="I195" s="266">
        <v>25001.0</v>
      </c>
    </row>
    <row r="196" hidden="1">
      <c r="A196" s="258">
        <v>602.0</v>
      </c>
      <c r="B196" s="258">
        <v>602.0</v>
      </c>
      <c r="C196" s="260">
        <v>196.0</v>
      </c>
      <c r="D196" s="260" t="str">
        <f>IFERROR(__xludf.DUMMYFUNCTION("if(B196&lt;=999,if(B196&lt;=99,IF(B196&lt;=9,join(,""000"",B196),join(,""00"",B196)),join(,""0"",B196)),B196)"),"0602")</f>
        <v>0602</v>
      </c>
      <c r="E196" s="270" t="s">
        <v>492</v>
      </c>
      <c r="F196" s="263" t="str">
        <f>vlookup(B196,'Geotagging Master All-Training '!$A$2:$C$2474,2,false)</f>
        <v>#N/A</v>
      </c>
      <c r="G196" s="263" t="str">
        <f>vlookup(B196,'Geotagging Master All-Training '!$A$2:$C$2474,3,false)</f>
        <v>#N/A</v>
      </c>
      <c r="H196" s="265" t="s">
        <v>20</v>
      </c>
      <c r="I196" s="266" t="e">
        <v>#N/A</v>
      </c>
    </row>
    <row r="197" hidden="1">
      <c r="A197" s="258">
        <v>1292.0</v>
      </c>
      <c r="B197" s="258">
        <v>1292.0</v>
      </c>
      <c r="C197" s="260">
        <v>197.0</v>
      </c>
      <c r="D197" s="260">
        <f>IFERROR(__xludf.DUMMYFUNCTION("if(B197&lt;=999,if(B197&lt;=99,IF(B197&lt;=9,join(,""000"",B197),join(,""00"",B197)),join(,""0"",B197)),B197)"),1292.0)</f>
        <v>1292</v>
      </c>
      <c r="E197" s="270" t="s">
        <v>493</v>
      </c>
      <c r="F197" s="263" t="str">
        <f>vlookup(B197,'Geotagging Master All-Training '!$A$2:$C$2474,2,false)</f>
        <v>#N/A</v>
      </c>
      <c r="G197" s="263" t="str">
        <f>vlookup(B197,'Geotagging Master All-Training '!$A$2:$C$2474,3,false)</f>
        <v>#N/A</v>
      </c>
      <c r="H197" s="265" t="s">
        <v>20</v>
      </c>
      <c r="I197" s="266">
        <v>25001.0</v>
      </c>
    </row>
    <row r="198" hidden="1">
      <c r="A198" s="258">
        <v>83.0</v>
      </c>
      <c r="B198" s="258">
        <v>83.0</v>
      </c>
      <c r="C198" s="260">
        <v>198.0</v>
      </c>
      <c r="D198" s="260" t="str">
        <f>IFERROR(__xludf.DUMMYFUNCTION("if(B198&lt;=999,if(B198&lt;=99,IF(B198&lt;=9,join(,""000"",B198),join(,""00"",B198)),join(,""0"",B198)),B198)"),"0083")</f>
        <v>0083</v>
      </c>
      <c r="E198" s="270" t="s">
        <v>852</v>
      </c>
      <c r="F198" s="263" t="str">
        <f>vlookup(B198,'Geotagging Master All-Training '!$A$2:$C$2474,2,false)</f>
        <v>#N/A</v>
      </c>
      <c r="G198" s="263" t="str">
        <f>vlookup(B198,'Geotagging Master All-Training '!$A$2:$C$2474,3,false)</f>
        <v>#N/A</v>
      </c>
      <c r="H198" s="265" t="s">
        <v>20</v>
      </c>
      <c r="I198" s="266">
        <v>16.0</v>
      </c>
    </row>
    <row r="199" hidden="1">
      <c r="A199" s="258">
        <v>810.0</v>
      </c>
      <c r="B199" s="259">
        <v>810.0</v>
      </c>
      <c r="C199" s="260">
        <v>199.0</v>
      </c>
      <c r="D199" s="260" t="str">
        <f>IFERROR(__xludf.DUMMYFUNCTION("if(B199&lt;=999,if(B199&lt;=99,IF(B199&lt;=9,join(,""000"",B199),join(,""00"",B199)),join(,""0"",B199)),B199)"),"0810")</f>
        <v>0810</v>
      </c>
      <c r="E199" s="270" t="s">
        <v>497</v>
      </c>
      <c r="F199" s="263" t="str">
        <f>vlookup(B199,'Geotagging Master All-Training '!$A$2:$C$2474,2,false)</f>
        <v>#N/A</v>
      </c>
      <c r="G199" s="263" t="str">
        <f>vlookup(B199,'Geotagging Master All-Training '!$A$2:$C$2474,3,false)</f>
        <v>#N/A</v>
      </c>
      <c r="H199" s="265" t="s">
        <v>20</v>
      </c>
      <c r="I199" s="266"/>
    </row>
    <row r="200" hidden="1">
      <c r="A200" s="258">
        <v>1212.0</v>
      </c>
      <c r="B200" s="258">
        <v>1212.0</v>
      </c>
      <c r="C200" s="260">
        <v>200.0</v>
      </c>
      <c r="D200" s="260">
        <f>IFERROR(__xludf.DUMMYFUNCTION("if(B200&lt;=999,if(B200&lt;=99,IF(B200&lt;=9,join(,""000"",B200),join(,""00"",B200)),join(,""0"",B200)),B200)"),1212.0)</f>
        <v>1212</v>
      </c>
      <c r="E200" s="270" t="s">
        <v>499</v>
      </c>
      <c r="F200" s="263" t="str">
        <f>vlookup(B200,'Geotagging Master All-Training '!$A$2:$C$2474,2,false)</f>
        <v>#N/A</v>
      </c>
      <c r="G200" s="263" t="str">
        <f>vlookup(B200,'Geotagging Master All-Training '!$A$2:$C$2474,3,false)</f>
        <v>#N/A</v>
      </c>
      <c r="H200" s="265" t="s">
        <v>20</v>
      </c>
      <c r="I200" s="266">
        <v>16160.0</v>
      </c>
    </row>
    <row r="201" hidden="1">
      <c r="A201" s="258">
        <v>1372.0</v>
      </c>
      <c r="B201" s="258">
        <v>1372.0</v>
      </c>
      <c r="C201" s="260">
        <v>201.0</v>
      </c>
      <c r="D201" s="260">
        <f>IFERROR(__xludf.DUMMYFUNCTION("if(B201&lt;=999,if(B201&lt;=99,IF(B201&lt;=9,join(,""000"",B201),join(,""00"",B201)),join(,""0"",B201)),B201)"),1372.0)</f>
        <v>1372</v>
      </c>
      <c r="E201" s="270" t="s">
        <v>502</v>
      </c>
      <c r="F201" s="263" t="str">
        <f>vlookup(B201,'Geotagging Master All-Training '!$A$2:$C$2474,2,false)</f>
        <v>#N/A</v>
      </c>
      <c r="G201" s="263" t="str">
        <f>vlookup(B201,'Geotagging Master All-Training '!$A$2:$C$2474,3,false)</f>
        <v>#N/A</v>
      </c>
      <c r="H201" s="265" t="s">
        <v>20</v>
      </c>
      <c r="I201" s="266" t="s">
        <v>504</v>
      </c>
    </row>
    <row r="202" hidden="1">
      <c r="A202" s="258">
        <v>1412.0</v>
      </c>
      <c r="B202" s="258">
        <v>1412.0</v>
      </c>
      <c r="C202" s="260">
        <v>202.0</v>
      </c>
      <c r="D202" s="260">
        <f>IFERROR(__xludf.DUMMYFUNCTION("if(B202&lt;=999,if(B202&lt;=99,IF(B202&lt;=9,join(,""000"",B202),join(,""00"",B202)),join(,""0"",B202)),B202)"),1412.0)</f>
        <v>1412</v>
      </c>
      <c r="E202" s="262" t="s">
        <v>505</v>
      </c>
      <c r="F202" s="263" t="str">
        <f>vlookup(B202,'Geotagging Master All-Training '!$A$2:$C$2474,2,false)</f>
        <v>#N/A</v>
      </c>
      <c r="G202" s="263" t="str">
        <f>vlookup(B202,'Geotagging Master All-Training '!$A$2:$C$2474,3,false)</f>
        <v>#N/A</v>
      </c>
      <c r="H202" s="265" t="s">
        <v>20</v>
      </c>
      <c r="I202" s="266" t="e">
        <v>#N/A</v>
      </c>
    </row>
    <row r="203" hidden="1">
      <c r="A203" s="258">
        <v>521.0</v>
      </c>
      <c r="B203" s="258">
        <v>521.0</v>
      </c>
      <c r="C203" s="260">
        <v>203.0</v>
      </c>
      <c r="D203" s="260" t="str">
        <f>IFERROR(__xludf.DUMMYFUNCTION("if(B203&lt;=999,if(B203&lt;=99,IF(B203&lt;=9,join(,""000"",B203),join(,""00"",B203)),join(,""0"",B203)),B203)"),"0521")</f>
        <v>0521</v>
      </c>
      <c r="E203" s="270" t="s">
        <v>508</v>
      </c>
      <c r="F203" s="263" t="str">
        <f>vlookup(B203,'Geotagging Master All-Training '!$A$2:$C$2474,2,false)</f>
        <v>#N/A</v>
      </c>
      <c r="G203" s="263" t="str">
        <f>vlookup(B203,'Geotagging Master All-Training '!$A$2:$C$2474,3,false)</f>
        <v>#N/A</v>
      </c>
      <c r="H203" s="265" t="s">
        <v>20</v>
      </c>
      <c r="I203" s="266">
        <v>16.0</v>
      </c>
    </row>
    <row r="204" hidden="1">
      <c r="A204" s="258">
        <v>1112.0</v>
      </c>
      <c r="B204" s="258">
        <v>1112.0</v>
      </c>
      <c r="C204" s="260">
        <v>204.0</v>
      </c>
      <c r="D204" s="260">
        <f>IFERROR(__xludf.DUMMYFUNCTION("if(B204&lt;=999,if(B204&lt;=99,IF(B204&lt;=9,join(,""000"",B204),join(,""00"",B204)),join(,""0"",B204)),B204)"),1112.0)</f>
        <v>1112</v>
      </c>
      <c r="E204" s="270" t="s">
        <v>510</v>
      </c>
      <c r="F204" s="263" t="str">
        <f>vlookup(B204,'Geotagging Master All-Training '!$A$2:$C$2474,2,false)</f>
        <v>#N/A</v>
      </c>
      <c r="G204" s="263" t="str">
        <f>vlookup(B204,'Geotagging Master All-Training '!$A$2:$C$2474,3,false)</f>
        <v>#N/A</v>
      </c>
      <c r="H204" s="265" t="s">
        <v>20</v>
      </c>
      <c r="I204" s="266">
        <v>80.0</v>
      </c>
    </row>
    <row r="205" hidden="1">
      <c r="A205" s="258">
        <v>1206.0</v>
      </c>
      <c r="B205" s="258">
        <v>1206.0</v>
      </c>
      <c r="C205" s="260">
        <v>205.0</v>
      </c>
      <c r="D205" s="260">
        <f>IFERROR(__xludf.DUMMYFUNCTION("if(B205&lt;=999,if(B205&lt;=99,IF(B205&lt;=9,join(,""000"",B205),join(,""00"",B205)),join(,""0"",B205)),B205)"),1206.0)</f>
        <v>1206</v>
      </c>
      <c r="E205" s="262" t="s">
        <v>514</v>
      </c>
      <c r="F205" s="263" t="str">
        <f>vlookup(B205,'Geotagging Master All-Training '!$A$2:$C$2474,2,false)</f>
        <v>#N/A</v>
      </c>
      <c r="G205" s="263" t="str">
        <f>vlookup(B205,'Geotagging Master All-Training '!$A$2:$C$2474,3,false)</f>
        <v>#N/A</v>
      </c>
      <c r="H205" s="265" t="s">
        <v>20</v>
      </c>
      <c r="I205" s="266" t="e">
        <v>#N/A</v>
      </c>
    </row>
    <row r="206" hidden="1">
      <c r="A206" s="258">
        <v>1397.0</v>
      </c>
      <c r="B206" s="259">
        <v>1397.0</v>
      </c>
      <c r="C206" s="260">
        <v>206.0</v>
      </c>
      <c r="D206" s="260">
        <f>IFERROR(__xludf.DUMMYFUNCTION("if(B206&lt;=999,if(B206&lt;=99,IF(B206&lt;=9,join(,""000"",B206),join(,""00"",B206)),join(,""0"",B206)),B206)"),1397.0)</f>
        <v>1397</v>
      </c>
      <c r="E206" s="262" t="s">
        <v>516</v>
      </c>
      <c r="F206" s="263" t="str">
        <f>vlookup(B206,'Geotagging Master All-Training '!$A$2:$C$2474,2,false)</f>
        <v>#N/A</v>
      </c>
      <c r="G206" s="263" t="str">
        <f>vlookup(B206,'Geotagging Master All-Training '!$A$2:$C$2474,3,false)</f>
        <v>#N/A</v>
      </c>
      <c r="H206" s="265" t="s">
        <v>20</v>
      </c>
      <c r="I206" s="266" t="s">
        <v>244</v>
      </c>
    </row>
    <row r="207" hidden="1">
      <c r="A207" s="258">
        <v>806.0</v>
      </c>
      <c r="B207" s="259">
        <v>806.0</v>
      </c>
      <c r="C207" s="260">
        <v>207.0</v>
      </c>
      <c r="D207" s="260" t="str">
        <f>IFERROR(__xludf.DUMMYFUNCTION("if(B207&lt;=999,if(B207&lt;=99,IF(B207&lt;=9,join(,""000"",B207),join(,""00"",B207)),join(,""0"",B207)),B207)"),"0806")</f>
        <v>0806</v>
      </c>
      <c r="E207" s="270" t="s">
        <v>520</v>
      </c>
      <c r="F207" s="263" t="str">
        <f>vlookup(B207,'Geotagging Master All-Training '!$A$2:$C$2474,2,false)</f>
        <v>#N/A</v>
      </c>
      <c r="G207" s="263" t="str">
        <f>vlookup(B207,'Geotagging Master All-Training '!$A$2:$C$2474,3,false)</f>
        <v>#N/A</v>
      </c>
      <c r="H207" s="265" t="s">
        <v>20</v>
      </c>
      <c r="I207" s="266" t="s">
        <v>522</v>
      </c>
    </row>
    <row r="208" hidden="1">
      <c r="A208" s="258">
        <v>1037.0</v>
      </c>
      <c r="B208" s="258">
        <v>1037.0</v>
      </c>
      <c r="C208" s="260">
        <v>208.0</v>
      </c>
      <c r="D208" s="260">
        <f>IFERROR(__xludf.DUMMYFUNCTION("if(B208&lt;=999,if(B208&lt;=99,IF(B208&lt;=9,join(,""000"",B208),join(,""00"",B208)),join(,""0"",B208)),B208)"),1037.0)</f>
        <v>1037</v>
      </c>
      <c r="E208" s="270" t="s">
        <v>525</v>
      </c>
      <c r="F208" s="263" t="str">
        <f>vlookup(B208,'Geotagging Master All-Training '!$A$2:$C$2474,2,false)</f>
        <v>#N/A</v>
      </c>
      <c r="G208" s="263" t="str">
        <f>vlookup(B208,'Geotagging Master All-Training '!$A$2:$C$2474,3,false)</f>
        <v>#N/A</v>
      </c>
      <c r="H208" s="265" t="s">
        <v>20</v>
      </c>
      <c r="I208" s="266"/>
    </row>
    <row r="209" hidden="1">
      <c r="A209" s="272">
        <v>532.0</v>
      </c>
      <c r="B209" s="272">
        <v>532.0</v>
      </c>
      <c r="C209" s="260">
        <v>209.0</v>
      </c>
      <c r="D209" s="273" t="str">
        <f>IFERROR(__xludf.DUMMYFUNCTION("if(B209&lt;=999,if(B209&lt;=99,IF(B209&lt;=9,join(,""000"",B209),join(,""00"",B209)),join(,""0"",B209)),B209)"),"0532")</f>
        <v>0532</v>
      </c>
      <c r="E209" s="274" t="s">
        <v>526</v>
      </c>
      <c r="F209" s="263" t="str">
        <f>vlookup(B209,'Geotagging Master All-Training '!$A$2:$C$2474,2,false)</f>
        <v>#N/A</v>
      </c>
      <c r="G209" s="263" t="str">
        <f>vlookup(B209,'Geotagging Master All-Training '!$A$2:$C$2474,3,false)</f>
        <v>#N/A</v>
      </c>
      <c r="H209" s="276" t="s">
        <v>20</v>
      </c>
      <c r="I209" s="277" t="e">
        <v>#N/A</v>
      </c>
    </row>
    <row r="210" hidden="1">
      <c r="A210" s="258">
        <v>32.0</v>
      </c>
      <c r="B210" s="258">
        <v>32.0</v>
      </c>
      <c r="C210" s="260">
        <v>210.0</v>
      </c>
      <c r="D210" s="260" t="str">
        <f>IFERROR(__xludf.DUMMYFUNCTION("if(B210&lt;=999,if(B210&lt;=99,IF(B210&lt;=9,join(,""000"",B210),join(,""00"",B210)),join(,""0"",B210)),B210)"),"0032")</f>
        <v>0032</v>
      </c>
      <c r="E210" s="262" t="s">
        <v>530</v>
      </c>
      <c r="F210" s="263" t="str">
        <f>vlookup(B210,'Geotagging Master All-Training '!$A$2:$C$2474,2,false)</f>
        <v>#N/A</v>
      </c>
      <c r="G210" s="263" t="str">
        <f>vlookup(B210,'Geotagging Master All-Training '!$A$2:$C$2474,3,false)</f>
        <v>#N/A</v>
      </c>
      <c r="H210" s="265" t="s">
        <v>20</v>
      </c>
      <c r="I210" s="266"/>
    </row>
    <row r="211" hidden="1">
      <c r="A211" s="258">
        <v>177.0</v>
      </c>
      <c r="B211" s="258">
        <v>177.0</v>
      </c>
      <c r="C211" s="260">
        <v>211.0</v>
      </c>
      <c r="D211" s="260" t="str">
        <f>IFERROR(__xludf.DUMMYFUNCTION("if(B211&lt;=999,if(B211&lt;=99,IF(B211&lt;=9,join(,""000"",B211),join(,""00"",B211)),join(,""0"",B211)),B211)"),"0177")</f>
        <v>0177</v>
      </c>
      <c r="E211" s="262" t="s">
        <v>535</v>
      </c>
      <c r="F211" s="263" t="str">
        <f>vlookup(B211,'Geotagging Master All-Training '!$A$2:$C$2474,2,false)</f>
        <v>#N/A</v>
      </c>
      <c r="G211" s="263" t="str">
        <f>vlookup(B211,'Geotagging Master All-Training '!$A$2:$C$2474,3,false)</f>
        <v>#N/A</v>
      </c>
      <c r="H211" s="265" t="s">
        <v>20</v>
      </c>
      <c r="I211" s="266" t="s">
        <v>537</v>
      </c>
    </row>
    <row r="212" hidden="1">
      <c r="A212" s="258">
        <v>1248.0</v>
      </c>
      <c r="B212" s="259">
        <v>1248.0</v>
      </c>
      <c r="C212" s="260">
        <v>212.0</v>
      </c>
      <c r="D212" s="260">
        <f>IFERROR(__xludf.DUMMYFUNCTION("if(B212&lt;=999,if(B212&lt;=99,IF(B212&lt;=9,join(,""000"",B212),join(,""00"",B212)),join(,""0"",B212)),B212)"),1248.0)</f>
        <v>1248</v>
      </c>
      <c r="E212" s="270" t="s">
        <v>538</v>
      </c>
      <c r="F212" s="263" t="str">
        <f>vlookup(B212,'Geotagging Master All-Training '!$A$2:$C$2474,2,false)</f>
        <v>#N/A</v>
      </c>
      <c r="G212" s="263" t="str">
        <f>vlookup(B212,'Geotagging Master All-Training '!$A$2:$C$2474,3,false)</f>
        <v>#N/A</v>
      </c>
      <c r="H212" s="265" t="s">
        <v>20</v>
      </c>
      <c r="I212" s="266"/>
    </row>
    <row r="213" hidden="1">
      <c r="A213" s="258">
        <v>1458.0</v>
      </c>
      <c r="B213" s="258">
        <v>1458.0</v>
      </c>
      <c r="C213" s="260">
        <v>213.0</v>
      </c>
      <c r="D213" s="260">
        <f>IFERROR(__xludf.DUMMYFUNCTION("if(B213&lt;=999,if(B213&lt;=99,IF(B213&lt;=9,join(,""000"",B213),join(,""00"",B213)),join(,""0"",B213)),B213)"),1458.0)</f>
        <v>1458</v>
      </c>
      <c r="E213" s="270" t="s">
        <v>539</v>
      </c>
      <c r="F213" s="263" t="str">
        <f>vlookup(B213,'Geotagging Master All-Training '!$A$2:$C$2474,2,false)</f>
        <v>#N/A</v>
      </c>
      <c r="G213" s="263" t="str">
        <f>vlookup(B213,'Geotagging Master All-Training '!$A$2:$C$2474,3,false)</f>
        <v>#N/A</v>
      </c>
      <c r="H213" s="265" t="s">
        <v>20</v>
      </c>
      <c r="I213" s="266"/>
    </row>
    <row r="214" hidden="1">
      <c r="A214" s="258">
        <v>1396.0</v>
      </c>
      <c r="B214" s="258">
        <v>1396.0</v>
      </c>
      <c r="C214" s="260">
        <v>214.0</v>
      </c>
      <c r="D214" s="260">
        <f>IFERROR(__xludf.DUMMYFUNCTION("if(B214&lt;=999,if(B214&lt;=99,IF(B214&lt;=9,join(,""000"",B214),join(,""00"",B214)),join(,""0"",B214)),B214)"),1396.0)</f>
        <v>1396</v>
      </c>
      <c r="E214" s="262" t="s">
        <v>540</v>
      </c>
      <c r="F214" s="263" t="str">
        <f>vlookup(B214,'Geotagging Master All-Training '!$A$2:$C$2474,2,false)</f>
        <v>#N/A</v>
      </c>
      <c r="G214" s="263" t="str">
        <f>vlookup(B214,'Geotagging Master All-Training '!$A$2:$C$2474,3,false)</f>
        <v>#N/A</v>
      </c>
      <c r="H214" s="265" t="s">
        <v>20</v>
      </c>
      <c r="I214" s="266">
        <v>37777.0</v>
      </c>
    </row>
    <row r="215" hidden="1">
      <c r="A215" s="258">
        <v>1056.0</v>
      </c>
      <c r="B215" s="258">
        <v>1056.0</v>
      </c>
      <c r="C215" s="260">
        <v>215.0</v>
      </c>
      <c r="D215" s="260">
        <f>IFERROR(__xludf.DUMMYFUNCTION("if(B215&lt;=999,if(B215&lt;=99,IF(B215&lt;=9,join(,""000"",B215),join(,""00"",B215)),join(,""0"",B215)),B215)"),1056.0)</f>
        <v>1056</v>
      </c>
      <c r="E215" s="270" t="s">
        <v>543</v>
      </c>
      <c r="F215" s="263" t="str">
        <f>vlookup(B215,'Geotagging Master All-Training '!$A$2:$C$2474,2,false)</f>
        <v>#N/A</v>
      </c>
      <c r="G215" s="263" t="str">
        <f>vlookup(B215,'Geotagging Master All-Training '!$A$2:$C$2474,3,false)</f>
        <v>#N/A</v>
      </c>
      <c r="H215" s="265" t="s">
        <v>20</v>
      </c>
      <c r="I215" s="266">
        <v>80.0</v>
      </c>
    </row>
    <row r="216" hidden="1">
      <c r="A216" s="272">
        <v>1366.0</v>
      </c>
      <c r="B216" s="272">
        <v>1366.0</v>
      </c>
      <c r="C216" s="273">
        <v>221.0</v>
      </c>
      <c r="D216" s="273">
        <f>IFERROR(__xludf.DUMMYFUNCTION("if(B216&lt;=999,if(B216&lt;=99,IF(B216&lt;=9,join(,""000"",B216),join(,""00"",B216)),join(,""0"",B216)),B216)"),1366.0)</f>
        <v>1366</v>
      </c>
      <c r="E216" s="304" t="s">
        <v>1078</v>
      </c>
      <c r="F216" s="303" t="str">
        <f>vlookup(B216,'Geotagging Master All-Training '!$A$2:$C$2474,2,false)</f>
        <v>#N/A</v>
      </c>
      <c r="G216" s="303" t="str">
        <f>vlookup(B216,'Geotagging Master All-Training '!$A$2:$C$2474,3,false)</f>
        <v>#N/A</v>
      </c>
      <c r="H216" s="276" t="s">
        <v>20</v>
      </c>
      <c r="I216" s="277" t="s">
        <v>550</v>
      </c>
    </row>
    <row r="217" hidden="1">
      <c r="A217" s="258">
        <v>748.0</v>
      </c>
      <c r="B217" s="258">
        <v>748.0</v>
      </c>
      <c r="C217" s="260">
        <v>218.0</v>
      </c>
      <c r="D217" s="260" t="str">
        <f>IFERROR(__xludf.DUMMYFUNCTION("if(B217&lt;=999,if(B217&lt;=99,IF(B217&lt;=9,join(,""000"",B217),join(,""00"",B217)),join(,""0"",B217)),B217)"),"0748")</f>
        <v>0748</v>
      </c>
      <c r="E217" s="262" t="s">
        <v>546</v>
      </c>
      <c r="F217" s="263" t="str">
        <f>vlookup(B217,'Geotagging Master All-Training '!$A$2:$C$2474,2,false)</f>
        <v>#N/A</v>
      </c>
      <c r="G217" s="263" t="str">
        <f>vlookup(B217,'Geotagging Master All-Training '!$A$2:$C$2474,3,false)</f>
        <v>#N/A</v>
      </c>
      <c r="H217" s="265" t="s">
        <v>20</v>
      </c>
      <c r="I217" s="266">
        <v>25001.0</v>
      </c>
    </row>
    <row r="218" hidden="1">
      <c r="A218" s="258">
        <v>117.0</v>
      </c>
      <c r="B218" s="259">
        <v>117.0</v>
      </c>
      <c r="C218" s="260">
        <v>219.0</v>
      </c>
      <c r="D218" s="260" t="str">
        <f>IFERROR(__xludf.DUMMYFUNCTION("if(B218&lt;=999,if(B218&lt;=99,IF(B218&lt;=9,join(,""000"",B218),join(,""00"",B218)),join(,""0"",B218)),B218)"),"0117")</f>
        <v>0117</v>
      </c>
      <c r="E218" s="262" t="s">
        <v>548</v>
      </c>
      <c r="F218" s="263" t="str">
        <f>vlookup(B218,'Geotagging Master All-Training '!$A$2:$C$2474,2,false)</f>
        <v>#N/A</v>
      </c>
      <c r="G218" s="263" t="str">
        <f>vlookup(B218,'Geotagging Master All-Training '!$A$2:$C$2474,3,false)</f>
        <v>#N/A</v>
      </c>
      <c r="H218" s="265" t="s">
        <v>20</v>
      </c>
      <c r="I218" s="266" t="s">
        <v>550</v>
      </c>
    </row>
    <row r="219" hidden="1">
      <c r="A219" s="258">
        <v>1055.0</v>
      </c>
      <c r="B219" s="258">
        <v>1055.0</v>
      </c>
      <c r="C219" s="260">
        <v>220.0</v>
      </c>
      <c r="D219" s="260">
        <f>IFERROR(__xludf.DUMMYFUNCTION("if(B219&lt;=999,if(B219&lt;=99,IF(B219&lt;=9,join(,""000"",B219),join(,""00"",B219)),join(,""0"",B219)),B219)"),1055.0)</f>
        <v>1055</v>
      </c>
      <c r="E219" s="262" t="s">
        <v>551</v>
      </c>
      <c r="F219" s="263" t="str">
        <f>vlookup(B219,'Geotagging Master All-Training '!$A$2:$C$2474,2,false)</f>
        <v>#N/A</v>
      </c>
      <c r="G219" s="263" t="str">
        <f>vlookup(B219,'Geotagging Master All-Training '!$A$2:$C$2474,3,false)</f>
        <v>#N/A</v>
      </c>
      <c r="H219" s="265" t="s">
        <v>20</v>
      </c>
      <c r="I219" s="266" t="s">
        <v>550</v>
      </c>
    </row>
    <row r="220" hidden="1">
      <c r="A220" s="258">
        <v>1149.0</v>
      </c>
      <c r="B220" s="258">
        <v>1149.0</v>
      </c>
      <c r="C220" s="260">
        <v>222.0</v>
      </c>
      <c r="D220" s="260">
        <f>IFERROR(__xludf.DUMMYFUNCTION("if(B220&lt;=999,if(B220&lt;=99,IF(B220&lt;=9,join(,""000"",B220),join(,""00"",B220)),join(,""0"",B220)),B220)"),1149.0)</f>
        <v>1149</v>
      </c>
      <c r="E220" s="270" t="s">
        <v>554</v>
      </c>
      <c r="F220" s="263" t="str">
        <f>vlookup(B220,'Geotagging Master All-Training '!$A$2:$C$2474,2,false)</f>
        <v>#N/A</v>
      </c>
      <c r="G220" s="263" t="str">
        <f>vlookup(B220,'Geotagging Master All-Training '!$A$2:$C$2474,3,false)</f>
        <v>#N/A</v>
      </c>
      <c r="H220" s="265" t="s">
        <v>20</v>
      </c>
      <c r="I220" s="266"/>
    </row>
    <row r="221" hidden="1">
      <c r="A221" s="258">
        <v>1229.0</v>
      </c>
      <c r="B221" s="258">
        <v>1229.0</v>
      </c>
      <c r="C221" s="260">
        <v>223.0</v>
      </c>
      <c r="D221" s="260">
        <f>IFERROR(__xludf.DUMMYFUNCTION("if(B221&lt;=999,if(B221&lt;=99,IF(B221&lt;=9,join(,""000"",B221),join(,""00"",B221)),join(,""0"",B221)),B221)"),1229.0)</f>
        <v>1229</v>
      </c>
      <c r="E221" s="270" t="s">
        <v>555</v>
      </c>
      <c r="F221" s="263" t="str">
        <f>vlookup(B221,'Geotagging Master All-Training '!$A$2:$C$2474,2,false)</f>
        <v>#N/A</v>
      </c>
      <c r="G221" s="263" t="str">
        <f>vlookup(B221,'Geotagging Master All-Training '!$A$2:$C$2474,3,false)</f>
        <v>#N/A</v>
      </c>
      <c r="H221" s="265" t="s">
        <v>20</v>
      </c>
      <c r="I221" s="266">
        <v>80.0</v>
      </c>
    </row>
    <row r="222" hidden="1">
      <c r="A222" s="258">
        <v>834.0</v>
      </c>
      <c r="B222" s="258">
        <v>834.0</v>
      </c>
      <c r="C222" s="260">
        <v>224.0</v>
      </c>
      <c r="D222" s="260" t="str">
        <f>IFERROR(__xludf.DUMMYFUNCTION("if(B222&lt;=999,if(B222&lt;=99,IF(B222&lt;=9,join(,""000"",B222),join(,""00"",B222)),join(,""0"",B222)),B222)"),"0834")</f>
        <v>0834</v>
      </c>
      <c r="E222" s="270" t="s">
        <v>558</v>
      </c>
      <c r="F222" s="263" t="str">
        <f>vlookup(B222,'Geotagging Master All-Training '!$A$2:$C$2474,2,false)</f>
        <v>#N/A</v>
      </c>
      <c r="G222" s="263" t="str">
        <f>vlookup(B222,'Geotagging Master All-Training '!$A$2:$C$2474,3,false)</f>
        <v>#N/A</v>
      </c>
      <c r="H222" s="265" t="s">
        <v>20</v>
      </c>
      <c r="I222" s="266">
        <v>80.0</v>
      </c>
    </row>
    <row r="223" hidden="1">
      <c r="A223" s="272">
        <v>1053.0</v>
      </c>
      <c r="B223" s="272">
        <v>1053.0</v>
      </c>
      <c r="C223" s="260">
        <v>225.0</v>
      </c>
      <c r="D223" s="273">
        <f>IFERROR(__xludf.DUMMYFUNCTION("if(B223&lt;=999,if(B223&lt;=99,IF(B223&lt;=9,join(,""000"",B223),join(,""00"",B223)),join(,""0"",B223)),B223)"),1053.0)</f>
        <v>1053</v>
      </c>
      <c r="E223" s="274" t="s">
        <v>560</v>
      </c>
      <c r="F223" s="263" t="str">
        <f>vlookup(B223,'Geotagging Master All-Training '!$A$2:$C$2474,2,false)</f>
        <v>#N/A</v>
      </c>
      <c r="G223" s="263" t="str">
        <f>vlookup(B223,'Geotagging Master All-Training '!$A$2:$C$2474,3,false)</f>
        <v>#N/A</v>
      </c>
      <c r="H223" s="276" t="s">
        <v>20</v>
      </c>
      <c r="I223" s="277">
        <v>80.0</v>
      </c>
    </row>
    <row r="224" hidden="1">
      <c r="A224" s="272">
        <v>1377.0</v>
      </c>
      <c r="B224" s="272">
        <v>1377.0</v>
      </c>
      <c r="C224" s="260">
        <v>226.0</v>
      </c>
      <c r="D224" s="273">
        <f>IFERROR(__xludf.DUMMYFUNCTION("if(B224&lt;=999,if(B224&lt;=99,IF(B224&lt;=9,join(,""000"",B224),join(,""00"",B224)),join(,""0"",B224)),B224)"),1377.0)</f>
        <v>1377</v>
      </c>
      <c r="E224" s="274" t="s">
        <v>563</v>
      </c>
      <c r="F224" s="263" t="str">
        <f>vlookup(B224,'Geotagging Master All-Training '!$A$2:$C$2474,2,false)</f>
        <v>#N/A</v>
      </c>
      <c r="G224" s="263" t="str">
        <f>vlookup(B224,'Geotagging Master All-Training '!$A$2:$C$2474,3,false)</f>
        <v>#N/A</v>
      </c>
      <c r="H224" s="276" t="s">
        <v>20</v>
      </c>
      <c r="I224" s="277">
        <v>80.0</v>
      </c>
    </row>
    <row r="225" hidden="1">
      <c r="A225" s="258">
        <v>1234.0</v>
      </c>
      <c r="B225" s="258">
        <v>1234.0</v>
      </c>
      <c r="C225" s="260">
        <v>227.0</v>
      </c>
      <c r="D225" s="260">
        <f>IFERROR(__xludf.DUMMYFUNCTION("if(B225&lt;=999,if(B225&lt;=99,IF(B225&lt;=9,join(,""000"",B225),join(,""00"",B225)),join(,""0"",B225)),B225)"),1234.0)</f>
        <v>1234</v>
      </c>
      <c r="E225" s="262" t="s">
        <v>565</v>
      </c>
      <c r="F225" s="263" t="str">
        <f>vlookup(B225,'Geotagging Master All-Training '!$A$2:$C$2474,2,false)</f>
        <v>#N/A</v>
      </c>
      <c r="G225" s="263" t="str">
        <f>vlookup(B225,'Geotagging Master All-Training '!$A$2:$C$2474,3,false)</f>
        <v>#N/A</v>
      </c>
      <c r="H225" s="265" t="s">
        <v>20</v>
      </c>
      <c r="I225" s="266" t="s">
        <v>567</v>
      </c>
    </row>
    <row r="226" hidden="1">
      <c r="A226" s="258">
        <v>1076.0</v>
      </c>
      <c r="B226" s="259">
        <v>1076.0</v>
      </c>
      <c r="C226" s="260">
        <v>228.0</v>
      </c>
      <c r="D226" s="260">
        <f>IFERROR(__xludf.DUMMYFUNCTION("if(B226&lt;=999,if(B226&lt;=99,IF(B226&lt;=9,join(,""000"",B226),join(,""00"",B226)),join(,""0"",B226)),B226)"),1076.0)</f>
        <v>1076</v>
      </c>
      <c r="E226" s="262" t="s">
        <v>568</v>
      </c>
      <c r="F226" s="263" t="str">
        <f>vlookup(B226,'Geotagging Master All-Training '!$A$2:$C$2474,2,false)</f>
        <v>#N/A</v>
      </c>
      <c r="G226" s="263" t="str">
        <f>vlookup(B226,'Geotagging Master All-Training '!$A$2:$C$2474,3,false)</f>
        <v>#N/A</v>
      </c>
      <c r="H226" s="265" t="s">
        <v>20</v>
      </c>
      <c r="I226" s="266">
        <v>6036.0</v>
      </c>
    </row>
    <row r="227" hidden="1">
      <c r="A227" s="258">
        <v>273.0</v>
      </c>
      <c r="B227" s="258">
        <v>273.0</v>
      </c>
      <c r="C227" s="260">
        <v>229.0</v>
      </c>
      <c r="D227" s="260" t="str">
        <f>IFERROR(__xludf.DUMMYFUNCTION("if(B227&lt;=999,if(B227&lt;=99,IF(B227&lt;=9,join(,""000"",B227),join(,""00"",B227)),join(,""0"",B227)),B227)"),"0273")</f>
        <v>0273</v>
      </c>
      <c r="E227" s="262" t="s">
        <v>569</v>
      </c>
      <c r="F227" s="263" t="str">
        <f>vlookup(B227,'Geotagging Master All-Training '!$A$2:$C$2474,2,false)</f>
        <v>#N/A</v>
      </c>
      <c r="G227" s="263" t="str">
        <f>vlookup(B227,'Geotagging Master All-Training '!$A$2:$C$2474,3,false)</f>
        <v>#N/A</v>
      </c>
      <c r="H227" s="265" t="s">
        <v>20</v>
      </c>
      <c r="I227" s="266">
        <v>6036.0</v>
      </c>
    </row>
    <row r="228" hidden="1">
      <c r="A228" s="258">
        <v>1217.0</v>
      </c>
      <c r="B228" s="258">
        <v>1217.0</v>
      </c>
      <c r="C228" s="260">
        <v>230.0</v>
      </c>
      <c r="D228" s="260">
        <f>IFERROR(__xludf.DUMMYFUNCTION("if(B228&lt;=999,if(B228&lt;=99,IF(B228&lt;=9,join(,""000"",B228),join(,""00"",B228)),join(,""0"",B228)),B228)"),1217.0)</f>
        <v>1217</v>
      </c>
      <c r="E228" s="262" t="s">
        <v>570</v>
      </c>
      <c r="F228" s="263" t="str">
        <f>vlookup(B228,'Geotagging Master All-Training '!$A$2:$C$2474,2,false)</f>
        <v>#N/A</v>
      </c>
      <c r="G228" s="263" t="str">
        <f>vlookup(B228,'Geotagging Master All-Training '!$A$2:$C$2474,3,false)</f>
        <v>#N/A</v>
      </c>
      <c r="H228" s="265" t="s">
        <v>20</v>
      </c>
      <c r="I228" s="266" t="s">
        <v>572</v>
      </c>
    </row>
    <row r="229" hidden="1">
      <c r="A229" s="258">
        <v>397.0</v>
      </c>
      <c r="B229" s="258">
        <v>397.0</v>
      </c>
      <c r="C229" s="260">
        <v>231.0</v>
      </c>
      <c r="D229" s="260" t="str">
        <f>IFERROR(__xludf.DUMMYFUNCTION("if(B229&lt;=999,if(B229&lt;=99,IF(B229&lt;=9,join(,""000"",B229),join(,""00"",B229)),join(,""0"",B229)),B229)"),"0397")</f>
        <v>0397</v>
      </c>
      <c r="E229" s="262" t="s">
        <v>573</v>
      </c>
      <c r="F229" s="263" t="str">
        <f>vlookup(B229,'Geotagging Master All-Training '!$A$2:$C$2474,2,false)</f>
        <v>#N/A</v>
      </c>
      <c r="G229" s="263" t="str">
        <f>vlookup(B229,'Geotagging Master All-Training '!$A$2:$C$2474,3,false)</f>
        <v>#N/A</v>
      </c>
      <c r="H229" s="265" t="s">
        <v>20</v>
      </c>
      <c r="I229" s="266" t="s">
        <v>244</v>
      </c>
    </row>
    <row r="230" hidden="1">
      <c r="A230" s="258">
        <v>1291.0</v>
      </c>
      <c r="B230" s="258">
        <v>1291.0</v>
      </c>
      <c r="C230" s="260">
        <v>232.0</v>
      </c>
      <c r="D230" s="260">
        <f>IFERROR(__xludf.DUMMYFUNCTION("if(B230&lt;=999,if(B230&lt;=99,IF(B230&lt;=9,join(,""000"",B230),join(,""00"",B230)),join(,""0"",B230)),B230)"),1291.0)</f>
        <v>1291</v>
      </c>
      <c r="E230" s="270" t="s">
        <v>575</v>
      </c>
      <c r="F230" s="263" t="str">
        <f>vlookup(B230,'Geotagging Master All-Training '!$A$2:$C$2474,2,false)</f>
        <v>#N/A</v>
      </c>
      <c r="G230" s="263" t="str">
        <f>vlookup(B230,'Geotagging Master All-Training '!$A$2:$C$2474,3,false)</f>
        <v>#N/A</v>
      </c>
      <c r="H230" s="265" t="s">
        <v>20</v>
      </c>
      <c r="I230" s="266">
        <v>64.0</v>
      </c>
    </row>
    <row r="231" hidden="1">
      <c r="A231" s="258">
        <v>609.0</v>
      </c>
      <c r="B231" s="258">
        <v>609.0</v>
      </c>
      <c r="C231" s="260">
        <v>233.0</v>
      </c>
      <c r="D231" s="260" t="str">
        <f>IFERROR(__xludf.DUMMYFUNCTION("if(B231&lt;=999,if(B231&lt;=99,IF(B231&lt;=9,join(,""000"",B231),join(,""00"",B231)),join(,""0"",B231)),B231)"),"0609")</f>
        <v>0609</v>
      </c>
      <c r="E231" s="262" t="s">
        <v>577</v>
      </c>
      <c r="F231" s="263" t="str">
        <f>vlookup(B231,'Geotagging Master All-Training '!$A$2:$C$2474,2,false)</f>
        <v>#N/A</v>
      </c>
      <c r="G231" s="263" t="str">
        <f>vlookup(B231,'Geotagging Master All-Training '!$A$2:$C$2474,3,false)</f>
        <v>#N/A</v>
      </c>
      <c r="H231" s="265" t="s">
        <v>20</v>
      </c>
      <c r="I231" s="266">
        <v>16.0</v>
      </c>
    </row>
    <row r="232" hidden="1">
      <c r="A232" s="258">
        <v>1315.0</v>
      </c>
      <c r="B232" s="259">
        <v>1315.0</v>
      </c>
      <c r="C232" s="260">
        <v>234.0</v>
      </c>
      <c r="D232" s="260">
        <f>IFERROR(__xludf.DUMMYFUNCTION("if(B232&lt;=999,if(B232&lt;=99,IF(B232&lt;=9,join(,""000"",B232),join(,""00"",B232)),join(,""0"",B232)),B232)"),1315.0)</f>
        <v>1315</v>
      </c>
      <c r="E232" s="262" t="s">
        <v>579</v>
      </c>
      <c r="F232" s="263" t="str">
        <f>vlookup(B232,'Geotagging Master All-Training '!$A$2:$C$2474,2,false)</f>
        <v>#N/A</v>
      </c>
      <c r="G232" s="263" t="str">
        <f>vlookup(B232,'Geotagging Master All-Training '!$A$2:$C$2474,3,false)</f>
        <v>#N/A</v>
      </c>
      <c r="H232" s="265" t="s">
        <v>20</v>
      </c>
      <c r="I232" s="266" t="s">
        <v>580</v>
      </c>
    </row>
    <row r="233" hidden="1">
      <c r="A233" s="258">
        <v>1277.0</v>
      </c>
      <c r="B233" s="258">
        <v>1277.0</v>
      </c>
      <c r="C233" s="260">
        <v>235.0</v>
      </c>
      <c r="D233" s="260">
        <f>IFERROR(__xludf.DUMMYFUNCTION("if(B233&lt;=999,if(B233&lt;=99,IF(B233&lt;=9,join(,""000"",B233),join(,""00"",B233)),join(,""0"",B233)),B233)"),1277.0)</f>
        <v>1277</v>
      </c>
      <c r="E233" s="270" t="s">
        <v>581</v>
      </c>
      <c r="F233" s="263" t="str">
        <f>vlookup(B233,'Geotagging Master All-Training '!$A$2:$C$2474,2,false)</f>
        <v>#N/A</v>
      </c>
      <c r="G233" s="263" t="str">
        <f>vlookup(B233,'Geotagging Master All-Training '!$A$2:$C$2474,3,false)</f>
        <v>#N/A</v>
      </c>
      <c r="H233" s="265" t="s">
        <v>20</v>
      </c>
      <c r="I233" s="266" t="s">
        <v>334</v>
      </c>
    </row>
    <row r="234" hidden="1">
      <c r="A234" s="258">
        <v>1065.0</v>
      </c>
      <c r="B234" s="258">
        <v>1065.0</v>
      </c>
      <c r="C234" s="260">
        <v>236.0</v>
      </c>
      <c r="D234" s="260">
        <f>IFERROR(__xludf.DUMMYFUNCTION("if(B234&lt;=999,if(B234&lt;=99,IF(B234&lt;=9,join(,""000"",B234),join(,""00"",B234)),join(,""0"",B234)),B234)"),1065.0)</f>
        <v>1065</v>
      </c>
      <c r="E234" s="262" t="s">
        <v>582</v>
      </c>
      <c r="F234" s="263" t="str">
        <f>vlookup(B234,'Geotagging Master All-Training '!$A$2:$C$2474,2,false)</f>
        <v>#N/A</v>
      </c>
      <c r="G234" s="263" t="str">
        <f>vlookup(B234,'Geotagging Master All-Training '!$A$2:$C$2474,3,false)</f>
        <v>#N/A</v>
      </c>
      <c r="H234" s="265" t="s">
        <v>20</v>
      </c>
      <c r="I234" s="266" t="s">
        <v>334</v>
      </c>
    </row>
    <row r="235" hidden="1">
      <c r="A235" s="258">
        <v>1276.0</v>
      </c>
      <c r="B235" s="259">
        <v>1276.0</v>
      </c>
      <c r="C235" s="260">
        <v>237.0</v>
      </c>
      <c r="D235" s="260">
        <f>IFERROR(__xludf.DUMMYFUNCTION("if(B235&lt;=999,if(B235&lt;=99,IF(B235&lt;=9,join(,""000"",B235),join(,""00"",B235)),join(,""0"",B235)),B235)"),1276.0)</f>
        <v>1276</v>
      </c>
      <c r="E235" s="262" t="s">
        <v>586</v>
      </c>
      <c r="F235" s="263" t="str">
        <f>vlookup(B235,'Geotagging Master All-Training '!$A$2:$C$2474,2,false)</f>
        <v>#N/A</v>
      </c>
      <c r="G235" s="263" t="str">
        <f>vlookup(B235,'Geotagging Master All-Training '!$A$2:$C$2474,3,false)</f>
        <v>#N/A</v>
      </c>
      <c r="H235" s="265" t="s">
        <v>20</v>
      </c>
      <c r="I235" s="266" t="s">
        <v>334</v>
      </c>
    </row>
    <row r="236" hidden="1">
      <c r="A236" s="258">
        <v>1224.0</v>
      </c>
      <c r="B236" s="258">
        <v>1224.0</v>
      </c>
      <c r="C236" s="260">
        <v>238.0</v>
      </c>
      <c r="D236" s="260">
        <f>IFERROR(__xludf.DUMMYFUNCTION("if(B236&lt;=999,if(B236&lt;=99,IF(B236&lt;=9,join(,""000"",B236),join(,""00"",B236)),join(,""0"",B236)),B236)"),1224.0)</f>
        <v>1224</v>
      </c>
      <c r="E236" s="262" t="s">
        <v>590</v>
      </c>
      <c r="F236" s="263" t="str">
        <f>vlookup(B236,'Geotagging Master All-Training '!$A$2:$C$2474,2,false)</f>
        <v>#N/A</v>
      </c>
      <c r="G236" s="263" t="str">
        <f>vlookup(B236,'Geotagging Master All-Training '!$A$2:$C$2474,3,false)</f>
        <v>#N/A</v>
      </c>
      <c r="H236" s="265" t="s">
        <v>20</v>
      </c>
      <c r="I236" s="266" t="e">
        <v>#N/A</v>
      </c>
    </row>
    <row r="237" hidden="1">
      <c r="A237" s="258">
        <v>1114.0</v>
      </c>
      <c r="B237" s="258">
        <v>1114.0</v>
      </c>
      <c r="C237" s="260">
        <v>239.0</v>
      </c>
      <c r="D237" s="260">
        <f>IFERROR(__xludf.DUMMYFUNCTION("if(B237&lt;=999,if(B237&lt;=99,IF(B237&lt;=9,join(,""000"",B237),join(,""00"",B237)),join(,""0"",B237)),B237)"),1114.0)</f>
        <v>1114</v>
      </c>
      <c r="E237" s="262" t="s">
        <v>591</v>
      </c>
      <c r="F237" s="263" t="str">
        <f>vlookup(B237,'Geotagging Master All-Training '!$A$2:$C$2474,2,false)</f>
        <v>#N/A</v>
      </c>
      <c r="G237" s="263" t="str">
        <f>vlookup(B237,'Geotagging Master All-Training '!$A$2:$C$2474,3,false)</f>
        <v>#N/A</v>
      </c>
      <c r="H237" s="265" t="s">
        <v>20</v>
      </c>
      <c r="I237" s="266" t="s">
        <v>593</v>
      </c>
    </row>
    <row r="238" hidden="1">
      <c r="A238" s="258">
        <v>1288.0</v>
      </c>
      <c r="B238" s="258">
        <v>1288.0</v>
      </c>
      <c r="C238" s="260">
        <v>240.0</v>
      </c>
      <c r="D238" s="260">
        <f>IFERROR(__xludf.DUMMYFUNCTION("if(B238&lt;=999,if(B238&lt;=99,IF(B238&lt;=9,join(,""000"",B238),join(,""00"",B238)),join(,""0"",B238)),B238)"),1288.0)</f>
        <v>1288</v>
      </c>
      <c r="E238" s="270" t="s">
        <v>597</v>
      </c>
      <c r="F238" s="263" t="str">
        <f>vlookup(B238,'Geotagging Master All-Training '!$A$2:$C$2474,2,false)</f>
        <v>#N/A</v>
      </c>
      <c r="G238" s="263" t="str">
        <f>vlookup(B238,'Geotagging Master All-Training '!$A$2:$C$2474,3,false)</f>
        <v>#N/A</v>
      </c>
      <c r="H238" s="265" t="s">
        <v>20</v>
      </c>
      <c r="I238" s="266">
        <v>7000.0</v>
      </c>
    </row>
    <row r="239" hidden="1">
      <c r="A239" s="272">
        <v>915.0</v>
      </c>
      <c r="B239" s="272">
        <v>915.0</v>
      </c>
      <c r="C239" s="260">
        <v>241.0</v>
      </c>
      <c r="D239" s="273" t="str">
        <f>IFERROR(__xludf.DUMMYFUNCTION("if(B239&lt;=999,if(B239&lt;=99,IF(B239&lt;=9,join(,""000"",B239),join(,""00"",B239)),join(,""0"",B239)),B239)"),"0915")</f>
        <v>0915</v>
      </c>
      <c r="E239" s="274" t="s">
        <v>599</v>
      </c>
      <c r="F239" s="263" t="str">
        <f>vlookup(B239,'Geotagging Master All-Training '!$A$2:$C$2474,2,false)</f>
        <v>#N/A</v>
      </c>
      <c r="G239" s="263" t="str">
        <f>vlookup(B239,'Geotagging Master All-Training '!$A$2:$C$2474,3,false)</f>
        <v>#N/A</v>
      </c>
      <c r="H239" s="276" t="s">
        <v>20</v>
      </c>
      <c r="I239" s="277">
        <v>5555.0</v>
      </c>
    </row>
    <row r="240" hidden="1">
      <c r="A240" s="258">
        <v>84.0</v>
      </c>
      <c r="B240" s="259">
        <v>84.0</v>
      </c>
      <c r="C240" s="260">
        <v>242.0</v>
      </c>
      <c r="D240" s="260" t="str">
        <f>IFERROR(__xludf.DUMMYFUNCTION("if(B240&lt;=999,if(B240&lt;=99,IF(B240&lt;=9,join(,""000"",B240),join(,""00"",B240)),join(,""0"",B240)),B240)"),"0084")</f>
        <v>0084</v>
      </c>
      <c r="E240" s="262" t="s">
        <v>602</v>
      </c>
      <c r="F240" s="263" t="str">
        <f>vlookup(B240,'Geotagging Master All-Training '!$A$2:$C$2474,2,false)</f>
        <v>#N/A</v>
      </c>
      <c r="G240" s="263" t="str">
        <f>vlookup(B240,'Geotagging Master All-Training '!$A$2:$C$2474,3,false)</f>
        <v>#N/A</v>
      </c>
      <c r="H240" s="265" t="s">
        <v>20</v>
      </c>
      <c r="I240" s="266">
        <v>80.0</v>
      </c>
    </row>
    <row r="241" hidden="1">
      <c r="A241" s="272">
        <v>225.0</v>
      </c>
      <c r="B241" s="272">
        <v>225.0</v>
      </c>
      <c r="C241" s="260">
        <v>243.0</v>
      </c>
      <c r="D241" s="273" t="str">
        <f>IFERROR(__xludf.DUMMYFUNCTION("if(B241&lt;=999,if(B241&lt;=99,IF(B241&lt;=9,join(,""000"",B241),join(,""00"",B241)),join(,""0"",B241)),B241)"),"0225")</f>
        <v>0225</v>
      </c>
      <c r="E241" s="274" t="s">
        <v>607</v>
      </c>
      <c r="F241" s="263" t="str">
        <f>vlookup(B241,'Geotagging Master All-Training '!$A$2:$C$2474,2,false)</f>
        <v>#N/A</v>
      </c>
      <c r="G241" s="263" t="str">
        <f>vlookup(B241,'Geotagging Master All-Training '!$A$2:$C$2474,3,false)</f>
        <v>#N/A</v>
      </c>
      <c r="H241" s="276" t="s">
        <v>20</v>
      </c>
      <c r="I241" s="277">
        <v>9090.0</v>
      </c>
    </row>
    <row r="242" hidden="1">
      <c r="A242" s="258">
        <v>1200.0</v>
      </c>
      <c r="B242" s="258">
        <v>1200.0</v>
      </c>
      <c r="C242" s="260">
        <v>244.0</v>
      </c>
      <c r="D242" s="260">
        <f>IFERROR(__xludf.DUMMYFUNCTION("if(B242&lt;=999,if(B242&lt;=99,IF(B242&lt;=9,join(,""000"",B242),join(,""00"",B242)),join(,""0"",B242)),B242)"),1200.0)</f>
        <v>1200</v>
      </c>
      <c r="E242" s="262" t="s">
        <v>610</v>
      </c>
      <c r="F242" s="263" t="str">
        <f>vlookup(B242,'Geotagging Master All-Training '!$A$2:$C$2474,2,false)</f>
        <v>#N/A</v>
      </c>
      <c r="G242" s="263" t="str">
        <f>vlookup(B242,'Geotagging Master All-Training '!$A$2:$C$2474,3,false)</f>
        <v>#N/A</v>
      </c>
      <c r="H242" s="265" t="s">
        <v>20</v>
      </c>
      <c r="I242" s="266" t="e">
        <v>#N/A</v>
      </c>
    </row>
    <row r="243" hidden="1">
      <c r="A243" s="272">
        <v>1075.0</v>
      </c>
      <c r="B243" s="272">
        <v>1075.0</v>
      </c>
      <c r="C243" s="260">
        <v>245.0</v>
      </c>
      <c r="D243" s="273">
        <f>IFERROR(__xludf.DUMMYFUNCTION("if(B243&lt;=999,if(B243&lt;=99,IF(B243&lt;=9,join(,""000"",B243),join(,""00"",B243)),join(,""0"",B243)),B243)"),1075.0)</f>
        <v>1075</v>
      </c>
      <c r="E243" s="304" t="s">
        <v>611</v>
      </c>
      <c r="F243" s="263" t="str">
        <f>vlookup(B243,'Geotagging Master All-Training '!$A$2:$C$2474,2,false)</f>
        <v>#N/A</v>
      </c>
      <c r="G243" s="263" t="str">
        <f>vlookup(B243,'Geotagging Master All-Training '!$A$2:$C$2474,3,false)</f>
        <v>#N/A</v>
      </c>
      <c r="H243" s="276" t="s">
        <v>20</v>
      </c>
      <c r="I243" s="277" t="s">
        <v>613</v>
      </c>
    </row>
    <row r="244" hidden="1">
      <c r="A244" s="258">
        <v>1336.0</v>
      </c>
      <c r="B244" s="258">
        <v>1336.0</v>
      </c>
      <c r="C244" s="260">
        <v>246.0</v>
      </c>
      <c r="D244" s="260">
        <f>IFERROR(__xludf.DUMMYFUNCTION("if(B244&lt;=999,if(B244&lt;=99,IF(B244&lt;=9,join(,""000"",B244),join(,""00"",B244)),join(,""0"",B244)),B244)"),1336.0)</f>
        <v>1336</v>
      </c>
      <c r="E244" s="262" t="s">
        <v>615</v>
      </c>
      <c r="F244" s="263" t="str">
        <f>vlookup(B244,'Geotagging Master All-Training '!$A$2:$C$2474,2,false)</f>
        <v>#N/A</v>
      </c>
      <c r="G244" s="263" t="str">
        <f>vlookup(B244,'Geotagging Master All-Training '!$A$2:$C$2474,3,false)</f>
        <v>#N/A</v>
      </c>
      <c r="H244" s="265" t="s">
        <v>20</v>
      </c>
      <c r="I244" s="266">
        <v>16.0</v>
      </c>
    </row>
    <row r="245" hidden="1">
      <c r="A245" s="258">
        <v>1073.0</v>
      </c>
      <c r="B245" s="258">
        <v>1073.0</v>
      </c>
      <c r="C245" s="260">
        <v>247.0</v>
      </c>
      <c r="D245" s="260">
        <f>IFERROR(__xludf.DUMMYFUNCTION("if(B245&lt;=999,if(B245&lt;=99,IF(B245&lt;=9,join(,""000"",B245),join(,""00"",B245)),join(,""0"",B245)),B245)"),1073.0)</f>
        <v>1073</v>
      </c>
      <c r="E245" s="262" t="s">
        <v>617</v>
      </c>
      <c r="F245" s="263" t="str">
        <f>vlookup(B245,'Geotagging Master All-Training '!$A$2:$C$2474,2,false)</f>
        <v>#N/A</v>
      </c>
      <c r="G245" s="263" t="str">
        <f>vlookup(B245,'Geotagging Master All-Training '!$A$2:$C$2474,3,false)</f>
        <v>#N/A</v>
      </c>
      <c r="H245" s="265" t="s">
        <v>20</v>
      </c>
      <c r="I245" s="266">
        <v>8000.0</v>
      </c>
    </row>
    <row r="246" hidden="1">
      <c r="A246" s="258">
        <v>758.0</v>
      </c>
      <c r="B246" s="259">
        <v>758.0</v>
      </c>
      <c r="C246" s="260">
        <v>248.0</v>
      </c>
      <c r="D246" s="260" t="str">
        <f>IFERROR(__xludf.DUMMYFUNCTION("if(B246&lt;=999,if(B246&lt;=99,IF(B246&lt;=9,join(,""000"",B246),join(,""00"",B246)),join(,""0"",B246)),B246)"),"0758")</f>
        <v>0758</v>
      </c>
      <c r="E246" s="262" t="s">
        <v>619</v>
      </c>
      <c r="F246" s="263" t="str">
        <f>vlookup(B246,'Geotagging Master All-Training '!$A$2:$C$2474,2,false)</f>
        <v>#N/A</v>
      </c>
      <c r="G246" s="263" t="str">
        <f>vlookup(B246,'Geotagging Master All-Training '!$A$2:$C$2474,3,false)</f>
        <v>#N/A</v>
      </c>
      <c r="H246" s="265" t="s">
        <v>20</v>
      </c>
      <c r="I246" s="266" t="s">
        <v>622</v>
      </c>
    </row>
    <row r="247" hidden="1">
      <c r="A247" s="258">
        <v>1137.0</v>
      </c>
      <c r="B247" s="258">
        <v>1137.0</v>
      </c>
      <c r="C247" s="260">
        <v>249.0</v>
      </c>
      <c r="D247" s="260">
        <f>IFERROR(__xludf.DUMMYFUNCTION("if(B247&lt;=999,if(B247&lt;=99,IF(B247&lt;=9,join(,""000"",B247),join(,""00"",B247)),join(,""0"",B247)),B247)"),1137.0)</f>
        <v>1137</v>
      </c>
      <c r="E247" s="262" t="s">
        <v>623</v>
      </c>
      <c r="F247" s="263" t="str">
        <f>vlookup(B247,'Geotagging Master All-Training '!$A$2:$C$2474,2,false)</f>
        <v>#N/A</v>
      </c>
      <c r="G247" s="263" t="str">
        <f>vlookup(B247,'Geotagging Master All-Training '!$A$2:$C$2474,3,false)</f>
        <v>#N/A</v>
      </c>
      <c r="H247" s="265" t="s">
        <v>20</v>
      </c>
      <c r="I247" s="266">
        <v>8000.0</v>
      </c>
    </row>
    <row r="248" hidden="1">
      <c r="A248" s="258">
        <v>1270.0</v>
      </c>
      <c r="B248" s="258">
        <v>1270.0</v>
      </c>
      <c r="C248" s="260">
        <v>250.0</v>
      </c>
      <c r="D248" s="260">
        <f>IFERROR(__xludf.DUMMYFUNCTION("if(B248&lt;=999,if(B248&lt;=99,IF(B248&lt;=9,join(,""000"",B248),join(,""00"",B248)),join(,""0"",B248)),B248)"),1270.0)</f>
        <v>1270</v>
      </c>
      <c r="E248" s="262" t="s">
        <v>626</v>
      </c>
      <c r="F248" s="263" t="str">
        <f>vlookup(B248,'Geotagging Master All-Training '!$A$2:$C$2474,2,false)</f>
        <v>#N/A</v>
      </c>
      <c r="G248" s="263" t="str">
        <f>vlookup(B248,'Geotagging Master All-Training '!$A$2:$C$2474,3,false)</f>
        <v>#N/A</v>
      </c>
      <c r="H248" s="265" t="s">
        <v>20</v>
      </c>
      <c r="I248" s="266">
        <v>2.20601225300923E15</v>
      </c>
    </row>
    <row r="249" hidden="1">
      <c r="A249" s="258">
        <v>676.0</v>
      </c>
      <c r="B249" s="258">
        <v>676.0</v>
      </c>
      <c r="C249" s="260">
        <v>251.0</v>
      </c>
      <c r="D249" s="260" t="str">
        <f>IFERROR(__xludf.DUMMYFUNCTION("if(B249&lt;=999,if(B249&lt;=99,IF(B249&lt;=9,join(,""000"",B249),join(,""00"",B249)),join(,""0"",B249)),B249)"),"0676")</f>
        <v>0676</v>
      </c>
      <c r="E249" s="262" t="s">
        <v>628</v>
      </c>
      <c r="F249" s="263" t="str">
        <f>vlookup(B249,'Geotagging Master All-Training '!$A$2:$C$2474,2,false)</f>
        <v>#N/A</v>
      </c>
      <c r="G249" s="263" t="str">
        <f>vlookup(B249,'Geotagging Master All-Training '!$A$2:$C$2474,3,false)</f>
        <v>#N/A</v>
      </c>
      <c r="H249" s="265" t="s">
        <v>20</v>
      </c>
      <c r="I249" s="266" t="s">
        <v>630</v>
      </c>
    </row>
    <row r="250" hidden="1">
      <c r="A250" s="258">
        <v>1316.0</v>
      </c>
      <c r="B250" s="258">
        <v>1316.0</v>
      </c>
      <c r="C250" s="260">
        <v>252.0</v>
      </c>
      <c r="D250" s="260">
        <f>IFERROR(__xludf.DUMMYFUNCTION("if(B250&lt;=999,if(B250&lt;=99,IF(B250&lt;=9,join(,""000"",B250),join(,""00"",B250)),join(,""0"",B250)),B250)"),1316.0)</f>
        <v>1316</v>
      </c>
      <c r="E250" s="262" t="s">
        <v>631</v>
      </c>
      <c r="F250" s="263" t="str">
        <f>vlookup(B250,'Geotagging Master All-Training '!$A$2:$C$2474,2,false)</f>
        <v>#N/A</v>
      </c>
      <c r="G250" s="263" t="str">
        <f>vlookup(B250,'Geotagging Master All-Training '!$A$2:$C$2474,3,false)</f>
        <v>#N/A</v>
      </c>
      <c r="H250" s="265" t="s">
        <v>20</v>
      </c>
      <c r="I250" s="266">
        <v>8.0</v>
      </c>
    </row>
    <row r="251" hidden="1">
      <c r="A251" s="272">
        <v>1131.0</v>
      </c>
      <c r="B251" s="272">
        <v>1131.0</v>
      </c>
      <c r="C251" s="260">
        <v>253.0</v>
      </c>
      <c r="D251" s="273">
        <f>IFERROR(__xludf.DUMMYFUNCTION("if(B251&lt;=999,if(B251&lt;=99,IF(B251&lt;=9,join(,""000"",B251),join(,""00"",B251)),join(,""0"",B251)),B251)"),1131.0)</f>
        <v>1131</v>
      </c>
      <c r="E251" s="304" t="s">
        <v>634</v>
      </c>
      <c r="F251" s="263" t="str">
        <f>vlookup(B251,'Geotagging Master All-Training '!$A$2:$C$2474,2,false)</f>
        <v>#N/A</v>
      </c>
      <c r="G251" s="263" t="str">
        <f>vlookup(B251,'Geotagging Master All-Training '!$A$2:$C$2474,3,false)</f>
        <v>#N/A</v>
      </c>
      <c r="H251" s="276" t="s">
        <v>20</v>
      </c>
      <c r="I251" s="277"/>
    </row>
    <row r="252" hidden="1">
      <c r="A252" s="258">
        <v>1284.0</v>
      </c>
      <c r="B252" s="258">
        <v>1284.0</v>
      </c>
      <c r="C252" s="260">
        <v>254.0</v>
      </c>
      <c r="D252" s="260">
        <f>IFERROR(__xludf.DUMMYFUNCTION("if(B252&lt;=999,if(B252&lt;=99,IF(B252&lt;=9,join(,""000"",B252),join(,""00"",B252)),join(,""0"",B252)),B252)"),1284.0)</f>
        <v>1284</v>
      </c>
      <c r="E252" s="262" t="s">
        <v>637</v>
      </c>
      <c r="F252" s="263" t="str">
        <f>vlookup(B252,'Geotagging Master All-Training '!$A$2:$C$2474,2,false)</f>
        <v>#N/A</v>
      </c>
      <c r="G252" s="263" t="str">
        <f>vlookup(B252,'Geotagging Master All-Training '!$A$2:$C$2474,3,false)</f>
        <v>#N/A</v>
      </c>
      <c r="H252" s="265" t="s">
        <v>20</v>
      </c>
      <c r="I252" s="266">
        <v>16.0</v>
      </c>
    </row>
    <row r="253" hidden="1">
      <c r="A253" s="258">
        <v>1208.0</v>
      </c>
      <c r="B253" s="259">
        <v>1208.0</v>
      </c>
      <c r="C253" s="260">
        <v>255.0</v>
      </c>
      <c r="D253" s="260">
        <f>IFERROR(__xludf.DUMMYFUNCTION("if(B253&lt;=999,if(B253&lt;=99,IF(B253&lt;=9,join(,""000"",B253),join(,""00"",B253)),join(,""0"",B253)),B253)"),1208.0)</f>
        <v>1208</v>
      </c>
      <c r="E253" s="262" t="s">
        <v>640</v>
      </c>
      <c r="F253" s="263" t="str">
        <f>vlookup(B253,'Geotagging Master All-Training '!$A$2:$C$2474,2,false)</f>
        <v>#N/A</v>
      </c>
      <c r="G253" s="263" t="str">
        <f>vlookup(B253,'Geotagging Master All-Training '!$A$2:$C$2474,3,false)</f>
        <v>#N/A</v>
      </c>
      <c r="H253" s="265" t="s">
        <v>20</v>
      </c>
      <c r="I253" s="266">
        <v>25001.0</v>
      </c>
    </row>
    <row r="254" hidden="1">
      <c r="A254" s="258">
        <v>1129.0</v>
      </c>
      <c r="B254" s="258">
        <v>1129.0</v>
      </c>
      <c r="C254" s="273">
        <v>13.0</v>
      </c>
      <c r="D254" s="260">
        <f>IFERROR(__xludf.DUMMYFUNCTION("if(B254&lt;=999,if(B254&lt;=99,IF(B254&lt;=9,join(,""000"",B254),join(,""00"",B254)),join(,""0"",B254)),B254)"),1129.0)</f>
        <v>1129</v>
      </c>
      <c r="E254" s="270" t="s">
        <v>643</v>
      </c>
      <c r="F254" s="263" t="str">
        <f>vlookup(B254,'Geotagging Master All-Training '!$A$2:$C$2474,2,false)</f>
        <v>#N/A</v>
      </c>
      <c r="G254" s="263" t="str">
        <f>vlookup(B254,'Geotagging Master All-Training '!$A$2:$C$2474,3,false)</f>
        <v>#N/A</v>
      </c>
      <c r="H254" s="265" t="s">
        <v>35</v>
      </c>
      <c r="I254" s="266" t="e">
        <v>#N/A</v>
      </c>
    </row>
    <row r="255" hidden="1">
      <c r="A255" s="258">
        <v>801.0</v>
      </c>
      <c r="B255" s="259">
        <v>801.0</v>
      </c>
      <c r="C255" s="260">
        <v>257.0</v>
      </c>
      <c r="D255" s="260" t="str">
        <f>IFERROR(__xludf.DUMMYFUNCTION("if(B255&lt;=999,if(B255&lt;=99,IF(B255&lt;=9,join(,""000"",B255),join(,""00"",B255)),join(,""0"",B255)),B255)"),"0801")</f>
        <v>0801</v>
      </c>
      <c r="E255" s="262" t="s">
        <v>644</v>
      </c>
      <c r="F255" s="263" t="str">
        <f>vlookup(B255,'Geotagging Master All-Training '!$A$2:$C$2474,2,false)</f>
        <v>#N/A</v>
      </c>
      <c r="G255" s="263" t="str">
        <f>vlookup(B255,'Geotagging Master All-Training '!$A$2:$C$2474,3,false)</f>
        <v>#N/A</v>
      </c>
      <c r="H255" s="265" t="s">
        <v>20</v>
      </c>
      <c r="I255" s="266" t="s">
        <v>645</v>
      </c>
    </row>
    <row r="256" hidden="1">
      <c r="A256" s="258">
        <v>524.0</v>
      </c>
      <c r="B256" s="258">
        <v>524.0</v>
      </c>
      <c r="C256" s="260">
        <v>258.0</v>
      </c>
      <c r="D256" s="260" t="str">
        <f>IFERROR(__xludf.DUMMYFUNCTION("if(B256&lt;=999,if(B256&lt;=99,IF(B256&lt;=9,join(,""000"",B256),join(,""00"",B256)),join(,""0"",B256)),B256)"),"0524")</f>
        <v>0524</v>
      </c>
      <c r="E256" s="270" t="s">
        <v>646</v>
      </c>
      <c r="F256" s="263" t="str">
        <f>vlookup(B256,'Geotagging Master All-Training '!$A$2:$C$2474,2,false)</f>
        <v>#N/A</v>
      </c>
      <c r="G256" s="263" t="str">
        <f>vlookup(B256,'Geotagging Master All-Training '!$A$2:$C$2474,3,false)</f>
        <v>#N/A</v>
      </c>
      <c r="H256" s="265" t="s">
        <v>20</v>
      </c>
      <c r="I256" s="266">
        <v>64.0</v>
      </c>
    </row>
    <row r="257" hidden="1">
      <c r="A257" s="258">
        <v>19.0</v>
      </c>
      <c r="B257" s="259">
        <v>19.0</v>
      </c>
      <c r="C257" s="260">
        <v>259.0</v>
      </c>
      <c r="D257" s="260" t="str">
        <f>IFERROR(__xludf.DUMMYFUNCTION("if(B257&lt;=999,if(B257&lt;=99,IF(B257&lt;=9,join(,""000"",B257),join(,""00"",B257)),join(,""0"",B257)),B257)"),"0019")</f>
        <v>0019</v>
      </c>
      <c r="E257" s="270" t="s">
        <v>647</v>
      </c>
      <c r="F257" s="263" t="str">
        <f>vlookup(B257,'Geotagging Master All-Training '!$A$2:$C$2474,2,false)</f>
        <v>#N/A</v>
      </c>
      <c r="G257" s="263" t="str">
        <f>vlookup(B257,'Geotagging Master All-Training '!$A$2:$C$2474,3,false)</f>
        <v>#N/A</v>
      </c>
      <c r="H257" s="265" t="s">
        <v>20</v>
      </c>
      <c r="I257" s="266" t="e">
        <v>#N/A</v>
      </c>
    </row>
    <row r="258" hidden="1">
      <c r="A258" s="258">
        <v>1271.0</v>
      </c>
      <c r="B258" s="258">
        <v>1271.0</v>
      </c>
      <c r="C258" s="260">
        <v>260.0</v>
      </c>
      <c r="D258" s="260">
        <f>IFERROR(__xludf.DUMMYFUNCTION("if(B258&lt;=999,if(B258&lt;=99,IF(B258&lt;=9,join(,""000"",B258),join(,""00"",B258)),join(,""0"",B258)),B258)"),1271.0)</f>
        <v>1271</v>
      </c>
      <c r="E258" s="270" t="s">
        <v>648</v>
      </c>
      <c r="F258" s="263" t="str">
        <f>vlookup(B258,'Geotagging Master All-Training '!$A$2:$C$2474,2,false)</f>
        <v>#N/A</v>
      </c>
      <c r="G258" s="263" t="str">
        <f>vlookup(B258,'Geotagging Master All-Training '!$A$2:$C$2474,3,false)</f>
        <v>#N/A</v>
      </c>
      <c r="H258" s="265" t="s">
        <v>20</v>
      </c>
      <c r="I258" s="266">
        <v>8000.0</v>
      </c>
    </row>
    <row r="259" hidden="1">
      <c r="A259" s="258">
        <v>1124.0</v>
      </c>
      <c r="B259" s="258">
        <v>1124.0</v>
      </c>
      <c r="C259" s="260">
        <v>262.0</v>
      </c>
      <c r="D259" s="260">
        <f>IFERROR(__xludf.DUMMYFUNCTION("if(B259&lt;=999,if(B259&lt;=99,IF(B259&lt;=9,join(,""000"",B259),join(,""00"",B259)),join(,""0"",B259)),B259)"),1124.0)</f>
        <v>1124</v>
      </c>
      <c r="E259" s="270" t="s">
        <v>1158</v>
      </c>
      <c r="F259" s="263" t="str">
        <f>vlookup(B259,'Geotagging Master All-Training '!$A$2:$C$2474,2,false)</f>
        <v>#N/A</v>
      </c>
      <c r="G259" s="263" t="str">
        <f>vlookup(B259,'Geotagging Master All-Training '!$A$2:$C$2474,3,false)</f>
        <v>#N/A</v>
      </c>
      <c r="H259" s="265" t="s">
        <v>20</v>
      </c>
      <c r="I259" s="266">
        <v>5000.0</v>
      </c>
    </row>
    <row r="260" hidden="1">
      <c r="A260" s="258">
        <v>1433.0</v>
      </c>
      <c r="B260" s="259">
        <v>1433.0</v>
      </c>
      <c r="C260" s="260">
        <v>263.0</v>
      </c>
      <c r="D260" s="260">
        <f>IFERROR(__xludf.DUMMYFUNCTION("if(B260&lt;=999,if(B260&lt;=99,IF(B260&lt;=9,join(,""000"",B260),join(,""00"",B260)),join(,""0"",B260)),B260)"),1433.0)</f>
        <v>1433</v>
      </c>
      <c r="E260" s="262" t="s">
        <v>655</v>
      </c>
      <c r="F260" s="263" t="str">
        <f>vlookup(B260,'Geotagging Master All-Training '!$A$2:$C$2474,2,false)</f>
        <v>#N/A</v>
      </c>
      <c r="G260" s="263" t="str">
        <f>vlookup(B260,'Geotagging Master All-Training '!$A$2:$C$2474,3,false)</f>
        <v>#N/A</v>
      </c>
      <c r="H260" s="265" t="s">
        <v>20</v>
      </c>
      <c r="I260" s="266">
        <v>16.0</v>
      </c>
    </row>
    <row r="261" hidden="1">
      <c r="A261" s="258">
        <v>1042.0</v>
      </c>
      <c r="B261" s="258">
        <v>1042.0</v>
      </c>
      <c r="C261" s="260">
        <v>264.0</v>
      </c>
      <c r="D261" s="260">
        <f>IFERROR(__xludf.DUMMYFUNCTION("if(B261&lt;=999,if(B261&lt;=99,IF(B261&lt;=9,join(,""000"",B261),join(,""00"",B261)),join(,""0"",B261)),B261)"),1042.0)</f>
        <v>1042</v>
      </c>
      <c r="E261" s="262" t="s">
        <v>659</v>
      </c>
      <c r="F261" s="263" t="str">
        <f>vlookup(B261,'Geotagging Master All-Training '!$A$2:$C$2474,2,false)</f>
        <v>#N/A</v>
      </c>
      <c r="G261" s="263" t="str">
        <f>vlookup(B261,'Geotagging Master All-Training '!$A$2:$C$2474,3,false)</f>
        <v>#N/A</v>
      </c>
      <c r="H261" s="265" t="s">
        <v>20</v>
      </c>
      <c r="I261" s="266">
        <v>16.0</v>
      </c>
    </row>
    <row r="262" hidden="1">
      <c r="A262" s="258">
        <v>1307.0</v>
      </c>
      <c r="B262" s="258">
        <v>1307.0</v>
      </c>
      <c r="C262" s="260">
        <v>265.0</v>
      </c>
      <c r="D262" s="260">
        <f>IFERROR(__xludf.DUMMYFUNCTION("if(B262&lt;=999,if(B262&lt;=99,IF(B262&lt;=9,join(,""000"",B262),join(,""00"",B262)),join(,""0"",B262)),B262)"),1307.0)</f>
        <v>1307</v>
      </c>
      <c r="E262" s="270" t="s">
        <v>661</v>
      </c>
      <c r="F262" s="263" t="str">
        <f>vlookup(B262,'Geotagging Master All-Training '!$A$2:$C$2474,2,false)</f>
        <v>#N/A</v>
      </c>
      <c r="G262" s="263" t="str">
        <f>vlookup(B262,'Geotagging Master All-Training '!$A$2:$C$2474,3,false)</f>
        <v>#N/A</v>
      </c>
      <c r="H262" s="265" t="s">
        <v>20</v>
      </c>
      <c r="I262" s="266"/>
    </row>
    <row r="263" hidden="1">
      <c r="A263" s="258">
        <v>1111.0</v>
      </c>
      <c r="B263" s="259">
        <v>1111.0</v>
      </c>
      <c r="C263" s="260">
        <v>266.0</v>
      </c>
      <c r="D263" s="260">
        <f>IFERROR(__xludf.DUMMYFUNCTION("if(B263&lt;=999,if(B263&lt;=99,IF(B263&lt;=9,join(,""000"",B263),join(,""00"",B263)),join(,""0"",B263)),B263)"),1111.0)</f>
        <v>1111</v>
      </c>
      <c r="E263" s="270" t="s">
        <v>662</v>
      </c>
      <c r="F263" s="263" t="str">
        <f>vlookup(B263,'Geotagging Master All-Training '!$A$2:$C$2474,2,false)</f>
        <v>#N/A</v>
      </c>
      <c r="G263" s="263" t="str">
        <f>vlookup(B263,'Geotagging Master All-Training '!$A$2:$C$2474,3,false)</f>
        <v>#N/A</v>
      </c>
      <c r="H263" s="265" t="s">
        <v>20</v>
      </c>
      <c r="I263" s="266">
        <v>80.0</v>
      </c>
    </row>
    <row r="264" hidden="1">
      <c r="A264" s="258">
        <v>637.0</v>
      </c>
      <c r="B264" s="258">
        <v>637.0</v>
      </c>
      <c r="C264" s="260">
        <v>267.0</v>
      </c>
      <c r="D264" s="260" t="str">
        <f>IFERROR(__xludf.DUMMYFUNCTION("if(B264&lt;=999,if(B264&lt;=99,IF(B264&lt;=9,join(,""000"",B264),join(,""00"",B264)),join(,""0"",B264)),B264)"),"0637")</f>
        <v>0637</v>
      </c>
      <c r="E264" s="262" t="s">
        <v>663</v>
      </c>
      <c r="F264" s="263" t="str">
        <f>vlookup(B264,'Geotagging Master All-Training '!$A$2:$C$2474,2,false)</f>
        <v>#N/A</v>
      </c>
      <c r="G264" s="263" t="str">
        <f>vlookup(B264,'Geotagging Master All-Training '!$A$2:$C$2474,3,false)</f>
        <v>#N/A</v>
      </c>
      <c r="H264" s="265" t="s">
        <v>20</v>
      </c>
      <c r="I264" s="266">
        <v>16.0</v>
      </c>
    </row>
    <row r="265" hidden="1">
      <c r="A265" s="258">
        <v>218.0</v>
      </c>
      <c r="B265" s="258">
        <v>218.0</v>
      </c>
      <c r="C265" s="260">
        <v>268.0</v>
      </c>
      <c r="D265" s="260" t="str">
        <f>IFERROR(__xludf.DUMMYFUNCTION("if(B265&lt;=999,if(B265&lt;=99,IF(B265&lt;=9,join(,""000"",B265),join(,""00"",B265)),join(,""0"",B265)),B265)"),"0218")</f>
        <v>0218</v>
      </c>
      <c r="E265" s="262" t="s">
        <v>665</v>
      </c>
      <c r="F265" s="263" t="str">
        <f>vlookup(B265,'Geotagging Master All-Training '!$A$2:$C$2474,2,false)</f>
        <v>#N/A</v>
      </c>
      <c r="G265" s="263" t="str">
        <f>vlookup(B265,'Geotagging Master All-Training '!$A$2:$C$2474,3,false)</f>
        <v>#N/A</v>
      </c>
      <c r="H265" s="265" t="s">
        <v>20</v>
      </c>
      <c r="I265" s="266" t="e">
        <v>#N/A</v>
      </c>
    </row>
    <row r="266" hidden="1">
      <c r="A266" s="258">
        <v>1148.0</v>
      </c>
      <c r="B266" s="258">
        <v>1148.0</v>
      </c>
      <c r="C266" s="260">
        <v>269.0</v>
      </c>
      <c r="D266" s="260">
        <f>IFERROR(__xludf.DUMMYFUNCTION("if(B266&lt;=999,if(B266&lt;=99,IF(B266&lt;=9,join(,""000"",B266),join(,""00"",B266)),join(,""0"",B266)),B266)"),1148.0)</f>
        <v>1148</v>
      </c>
      <c r="E266" s="262" t="s">
        <v>668</v>
      </c>
      <c r="F266" s="263" t="str">
        <f>vlookup(B266,'Geotagging Master All-Training '!$A$2:$C$2474,2,false)</f>
        <v>#N/A</v>
      </c>
      <c r="G266" s="263" t="str">
        <f>vlookup(B266,'Geotagging Master All-Training '!$A$2:$C$2474,3,false)</f>
        <v>#N/A</v>
      </c>
      <c r="H266" s="265" t="s">
        <v>20</v>
      </c>
      <c r="I266" s="266" t="e">
        <v>#N/A</v>
      </c>
    </row>
    <row r="267" hidden="1">
      <c r="A267" s="258">
        <v>1090.0</v>
      </c>
      <c r="B267" s="258">
        <v>1090.0</v>
      </c>
      <c r="C267" s="260">
        <v>270.0</v>
      </c>
      <c r="D267" s="260">
        <f>IFERROR(__xludf.DUMMYFUNCTION("if(B267&lt;=999,if(B267&lt;=99,IF(B267&lt;=9,join(,""000"",B267),join(,""00"",B267)),join(,""0"",B267)),B267)"),1090.0)</f>
        <v>1090</v>
      </c>
      <c r="E267" s="262" t="s">
        <v>669</v>
      </c>
      <c r="F267" s="263" t="str">
        <f>vlookup(B267,'Geotagging Master All-Training '!$A$2:$C$2474,2,false)</f>
        <v>#N/A</v>
      </c>
      <c r="G267" s="263" t="str">
        <f>vlookup(B267,'Geotagging Master All-Training '!$A$2:$C$2474,3,false)</f>
        <v>#N/A</v>
      </c>
      <c r="H267" s="265" t="s">
        <v>20</v>
      </c>
      <c r="I267" s="266" t="e">
        <v>#N/A</v>
      </c>
    </row>
    <row r="268" hidden="1">
      <c r="A268" s="258">
        <v>1121.0</v>
      </c>
      <c r="B268" s="258">
        <v>1121.0</v>
      </c>
      <c r="C268" s="260">
        <v>271.0</v>
      </c>
      <c r="D268" s="260">
        <f>IFERROR(__xludf.DUMMYFUNCTION("if(B268&lt;=999,if(B268&lt;=99,IF(B268&lt;=9,join(,""000"",B268),join(,""00"",B268)),join(,""0"",B268)),B268)"),1121.0)</f>
        <v>1121</v>
      </c>
      <c r="E268" s="262" t="s">
        <v>670</v>
      </c>
      <c r="F268" s="263" t="str">
        <f>vlookup(B268,'Geotagging Master All-Training '!$A$2:$C$2474,2,false)</f>
        <v>#N/A</v>
      </c>
      <c r="G268" s="263" t="str">
        <f>vlookup(B268,'Geotagging Master All-Training '!$A$2:$C$2474,3,false)</f>
        <v>#N/A</v>
      </c>
      <c r="H268" s="265" t="s">
        <v>20</v>
      </c>
      <c r="I268" s="266">
        <v>80.0</v>
      </c>
    </row>
    <row r="269" hidden="1">
      <c r="A269" s="258">
        <v>61.0</v>
      </c>
      <c r="B269" s="259">
        <v>61.0</v>
      </c>
      <c r="C269" s="260">
        <v>272.0</v>
      </c>
      <c r="D269" s="260" t="str">
        <f>IFERROR(__xludf.DUMMYFUNCTION("if(B269&lt;=999,if(B269&lt;=99,IF(B269&lt;=9,join(,""000"",B269),join(,""00"",B269)),join(,""0"",B269)),B269)"),"0061")</f>
        <v>0061</v>
      </c>
      <c r="E269" s="262" t="s">
        <v>672</v>
      </c>
      <c r="F269" s="263" t="str">
        <f>vlookup(B269,'Geotagging Master All-Training '!$A$2:$C$2474,2,false)</f>
        <v>#N/A</v>
      </c>
      <c r="G269" s="263" t="str">
        <f>vlookup(B269,'Geotagging Master All-Training '!$A$2:$C$2474,3,false)</f>
        <v>#N/A</v>
      </c>
      <c r="H269" s="265" t="s">
        <v>20</v>
      </c>
      <c r="I269" s="266" t="e">
        <v>#N/A</v>
      </c>
    </row>
    <row r="270" hidden="1">
      <c r="A270" s="272">
        <v>814.0</v>
      </c>
      <c r="B270" s="272">
        <v>814.0</v>
      </c>
      <c r="C270" s="260">
        <v>273.0</v>
      </c>
      <c r="D270" s="273" t="str">
        <f>IFERROR(__xludf.DUMMYFUNCTION("if(B270&lt;=999,if(B270&lt;=99,IF(B270&lt;=9,join(,""000"",B270),join(,""00"",B270)),join(,""0"",B270)),B270)"),"0814")</f>
        <v>0814</v>
      </c>
      <c r="E270" s="274" t="s">
        <v>675</v>
      </c>
      <c r="F270" s="263" t="str">
        <f>vlookup(B270,'Geotagging Master All-Training '!$A$2:$C$2474,2,false)</f>
        <v>#N/A</v>
      </c>
      <c r="G270" s="263" t="str">
        <f>vlookup(B270,'Geotagging Master All-Training '!$A$2:$C$2474,3,false)</f>
        <v>#N/A</v>
      </c>
      <c r="H270" s="276" t="s">
        <v>20</v>
      </c>
      <c r="I270" s="277">
        <v>25001.0</v>
      </c>
    </row>
    <row r="271" hidden="1">
      <c r="A271" s="272">
        <v>1192.0</v>
      </c>
      <c r="B271" s="272">
        <v>1192.0</v>
      </c>
      <c r="C271" s="260">
        <v>274.0</v>
      </c>
      <c r="D271" s="273">
        <f>IFERROR(__xludf.DUMMYFUNCTION("if(B271&lt;=999,if(B271&lt;=99,IF(B271&lt;=9,join(,""000"",B271),join(,""00"",B271)),join(,""0"",B271)),B271)"),1192.0)</f>
        <v>1192</v>
      </c>
      <c r="E271" s="274" t="s">
        <v>680</v>
      </c>
      <c r="F271" s="263" t="str">
        <f>vlookup(B271,'Geotagging Master All-Training '!$A$2:$C$2474,2,false)</f>
        <v>#N/A</v>
      </c>
      <c r="G271" s="263" t="str">
        <f>vlookup(B271,'Geotagging Master All-Training '!$A$2:$C$2474,3,false)</f>
        <v>#N/A</v>
      </c>
      <c r="H271" s="276" t="s">
        <v>20</v>
      </c>
      <c r="I271" s="277">
        <v>25001.0</v>
      </c>
    </row>
    <row r="272" hidden="1">
      <c r="A272" s="258">
        <v>1435.0</v>
      </c>
      <c r="B272" s="258">
        <v>1435.0</v>
      </c>
      <c r="C272" s="260">
        <v>275.0</v>
      </c>
      <c r="D272" s="260">
        <f>IFERROR(__xludf.DUMMYFUNCTION("if(B272&lt;=999,if(B272&lt;=99,IF(B272&lt;=9,join(,""000"",B272),join(,""00"",B272)),join(,""0"",B272)),B272)"),1435.0)</f>
        <v>1435</v>
      </c>
      <c r="E272" s="270" t="s">
        <v>1164</v>
      </c>
      <c r="F272" s="263" t="str">
        <f>vlookup(B272,'Geotagging Master All-Training '!$A$2:$C$2474,2,false)</f>
        <v>#N/A</v>
      </c>
      <c r="G272" s="263" t="str">
        <f>vlookup(B272,'Geotagging Master All-Training '!$A$2:$C$2474,3,false)</f>
        <v>#N/A</v>
      </c>
      <c r="H272" s="265" t="s">
        <v>20</v>
      </c>
      <c r="I272" s="266">
        <v>16.0</v>
      </c>
    </row>
    <row r="273" hidden="1">
      <c r="A273" s="258">
        <v>341.0</v>
      </c>
      <c r="B273" s="259">
        <v>341.0</v>
      </c>
      <c r="C273" s="260">
        <v>276.0</v>
      </c>
      <c r="D273" s="260" t="str">
        <f>IFERROR(__xludf.DUMMYFUNCTION("if(B273&lt;=999,if(B273&lt;=99,IF(B273&lt;=9,join(,""000"",B273),join(,""00"",B273)),join(,""0"",B273)),B273)"),"0341")</f>
        <v>0341</v>
      </c>
      <c r="E273" s="262" t="s">
        <v>682</v>
      </c>
      <c r="F273" s="263" t="str">
        <f>vlookup(B273,'Geotagging Master All-Training '!$A$2:$C$2474,2,false)</f>
        <v>#N/A</v>
      </c>
      <c r="G273" s="263" t="str">
        <f>vlookup(B273,'Geotagging Master All-Training '!$A$2:$C$2474,3,false)</f>
        <v>#N/A</v>
      </c>
      <c r="H273" s="265" t="s">
        <v>20</v>
      </c>
      <c r="I273" s="266" t="s">
        <v>684</v>
      </c>
    </row>
    <row r="274" hidden="1">
      <c r="A274" s="258">
        <v>1362.0</v>
      </c>
      <c r="B274" s="259">
        <v>1362.0</v>
      </c>
      <c r="C274" s="260">
        <v>277.0</v>
      </c>
      <c r="D274" s="260">
        <f>IFERROR(__xludf.DUMMYFUNCTION("if(B274&lt;=999,if(B274&lt;=99,IF(B274&lt;=9,join(,""000"",B274),join(,""00"",B274)),join(,""0"",B274)),B274)"),1362.0)</f>
        <v>1362</v>
      </c>
      <c r="E274" s="262" t="s">
        <v>685</v>
      </c>
      <c r="F274" s="263" t="str">
        <f>vlookup(B274,'Geotagging Master All-Training '!$A$2:$C$2474,2,false)</f>
        <v>#N/A</v>
      </c>
      <c r="G274" s="263" t="str">
        <f>vlookup(B274,'Geotagging Master All-Training '!$A$2:$C$2474,3,false)</f>
        <v>#N/A</v>
      </c>
      <c r="H274" s="265" t="s">
        <v>20</v>
      </c>
      <c r="I274" s="309" t="s">
        <v>25</v>
      </c>
    </row>
    <row r="275" hidden="1">
      <c r="A275" s="258">
        <v>1015.0</v>
      </c>
      <c r="B275" s="258">
        <v>1015.0</v>
      </c>
      <c r="C275" s="260">
        <v>278.0</v>
      </c>
      <c r="D275" s="260">
        <f>IFERROR(__xludf.DUMMYFUNCTION("if(B275&lt;=999,if(B275&lt;=99,IF(B275&lt;=9,join(,""000"",B275),join(,""00"",B275)),join(,""0"",B275)),B275)"),1015.0)</f>
        <v>1015</v>
      </c>
      <c r="E275" s="270" t="s">
        <v>688</v>
      </c>
      <c r="F275" s="263" t="str">
        <f>vlookup(B275,'Geotagging Master All-Training '!$A$2:$C$2474,2,false)</f>
        <v>#N/A</v>
      </c>
      <c r="G275" s="263" t="str">
        <f>vlookup(B275,'Geotagging Master All-Training '!$A$2:$C$2474,3,false)</f>
        <v>#N/A</v>
      </c>
      <c r="H275" s="265" t="s">
        <v>20</v>
      </c>
      <c r="I275" s="266">
        <v>16.0</v>
      </c>
    </row>
    <row r="276" hidden="1">
      <c r="A276" s="258">
        <v>6.0</v>
      </c>
      <c r="B276" s="258">
        <v>6.0</v>
      </c>
      <c r="C276" s="273">
        <v>15.0</v>
      </c>
      <c r="D276" s="260" t="str">
        <f>IFERROR(__xludf.DUMMYFUNCTION("if(B276&lt;=999,if(B276&lt;=99,IF(B276&lt;=9,join(,""000"",B276),join(,""00"",B276)),join(,""0"",B276)),B276)"),"0006")</f>
        <v>0006</v>
      </c>
      <c r="E276" s="270" t="s">
        <v>690</v>
      </c>
      <c r="F276" s="263" t="str">
        <f>vlookup(B276,'Geotagging Master All-Training '!$A$2:$C$2474,2,false)</f>
        <v>#N/A</v>
      </c>
      <c r="G276" s="263" t="str">
        <f>vlookup(B276,'Geotagging Master All-Training '!$A$2:$C$2474,3,false)</f>
        <v>#N/A</v>
      </c>
      <c r="H276" s="265" t="s">
        <v>35</v>
      </c>
      <c r="I276" s="266">
        <v>80.0</v>
      </c>
    </row>
    <row r="277" hidden="1">
      <c r="A277" s="272">
        <v>683.0</v>
      </c>
      <c r="B277" s="272">
        <v>683.0</v>
      </c>
      <c r="C277" s="260">
        <v>280.0</v>
      </c>
      <c r="D277" s="273" t="str">
        <f>IFERROR(__xludf.DUMMYFUNCTION("if(B277&lt;=999,if(B277&lt;=99,IF(B277&lt;=9,join(,""000"",B277),join(,""00"",B277)),join(,""0"",B277)),B277)"),"0683")</f>
        <v>0683</v>
      </c>
      <c r="E277" s="274" t="s">
        <v>691</v>
      </c>
      <c r="F277" s="263" t="str">
        <f>vlookup(B277,'Geotagging Master All-Training '!$A$2:$C$2474,2,false)</f>
        <v>#N/A</v>
      </c>
      <c r="G277" s="263" t="str">
        <f>vlookup(B277,'Geotagging Master All-Training '!$A$2:$C$2474,3,false)</f>
        <v>#N/A</v>
      </c>
      <c r="H277" s="276" t="s">
        <v>20</v>
      </c>
      <c r="I277" s="277" t="e">
        <v>#N/A</v>
      </c>
    </row>
    <row r="278" hidden="1">
      <c r="A278" s="258">
        <v>34.0</v>
      </c>
      <c r="B278" s="259">
        <v>34.0</v>
      </c>
      <c r="C278" s="260">
        <v>281.0</v>
      </c>
      <c r="D278" s="260" t="str">
        <f>IFERROR(__xludf.DUMMYFUNCTION("if(B278&lt;=999,if(B278&lt;=99,IF(B278&lt;=9,join(,""000"",B278),join(,""00"",B278)),join(,""0"",B278)),B278)"),"0034")</f>
        <v>0034</v>
      </c>
      <c r="E278" s="270" t="s">
        <v>695</v>
      </c>
      <c r="F278" s="263" t="str">
        <f>vlookup(B278,'Geotagging Master All-Training '!$A$2:$C$2474,2,false)</f>
        <v>#N/A</v>
      </c>
      <c r="G278" s="263" t="str">
        <f>vlookup(B278,'Geotagging Master All-Training '!$A$2:$C$2474,3,false)</f>
        <v>#N/A</v>
      </c>
      <c r="H278" s="265" t="s">
        <v>20</v>
      </c>
      <c r="I278" s="266" t="s">
        <v>696</v>
      </c>
    </row>
    <row r="279" hidden="1">
      <c r="A279" s="258">
        <v>914.0</v>
      </c>
      <c r="B279" s="258">
        <v>914.0</v>
      </c>
      <c r="C279" s="260">
        <v>282.0</v>
      </c>
      <c r="D279" s="260" t="str">
        <f>IFERROR(__xludf.DUMMYFUNCTION("if(B279&lt;=999,if(B279&lt;=99,IF(B279&lt;=9,join(,""000"",B279),join(,""00"",B279)),join(,""0"",B279)),B279)"),"0914")</f>
        <v>0914</v>
      </c>
      <c r="E279" s="262" t="s">
        <v>698</v>
      </c>
      <c r="F279" s="263" t="str">
        <f>vlookup(B279,'Geotagging Master All-Training '!$A$2:$C$2474,2,false)</f>
        <v>#N/A</v>
      </c>
      <c r="G279" s="263" t="str">
        <f>vlookup(B279,'Geotagging Master All-Training '!$A$2:$C$2474,3,false)</f>
        <v>#N/A</v>
      </c>
      <c r="H279" s="265" t="s">
        <v>20</v>
      </c>
      <c r="I279" s="266">
        <v>82.0</v>
      </c>
    </row>
    <row r="280" hidden="1">
      <c r="A280" s="258">
        <v>241.0</v>
      </c>
      <c r="B280" s="258">
        <v>241.0</v>
      </c>
      <c r="C280" s="260">
        <v>283.0</v>
      </c>
      <c r="D280" s="260" t="str">
        <f>IFERROR(__xludf.DUMMYFUNCTION("if(B280&lt;=999,if(B280&lt;=99,IF(B280&lt;=9,join(,""000"",B280),join(,""00"",B280)),join(,""0"",B280)),B280)"),"0241")</f>
        <v>0241</v>
      </c>
      <c r="E280" s="270" t="s">
        <v>700</v>
      </c>
      <c r="F280" s="263" t="str">
        <f>vlookup(B280,'Geotagging Master All-Training '!$A$2:$C$2474,2,false)</f>
        <v>#N/A</v>
      </c>
      <c r="G280" s="263" t="str">
        <f>vlookup(B280,'Geotagging Master All-Training '!$A$2:$C$2474,3,false)</f>
        <v>#N/A</v>
      </c>
      <c r="H280" s="265" t="s">
        <v>20</v>
      </c>
      <c r="I280" s="266">
        <v>16.0</v>
      </c>
    </row>
    <row r="281" hidden="1">
      <c r="A281" s="258">
        <v>495.0</v>
      </c>
      <c r="B281" s="258">
        <v>495.0</v>
      </c>
      <c r="C281" s="260">
        <v>284.0</v>
      </c>
      <c r="D281" s="260" t="str">
        <f>IFERROR(__xludf.DUMMYFUNCTION("if(B281&lt;=999,if(B281&lt;=99,IF(B281&lt;=9,join(,""000"",B281),join(,""00"",B281)),join(,""0"",B281)),B281)"),"0495")</f>
        <v>0495</v>
      </c>
      <c r="E281" s="262" t="s">
        <v>701</v>
      </c>
      <c r="F281" s="263" t="str">
        <f>vlookup(B281,'Geotagging Master All-Training '!$A$2:$C$2474,2,false)</f>
        <v>#N/A</v>
      </c>
      <c r="G281" s="263" t="str">
        <f>vlookup(B281,'Geotagging Master All-Training '!$A$2:$C$2474,3,false)</f>
        <v>#N/A</v>
      </c>
      <c r="H281" s="265" t="s">
        <v>20</v>
      </c>
      <c r="I281" s="266">
        <v>123.0</v>
      </c>
    </row>
    <row r="282" hidden="1">
      <c r="A282" s="258">
        <v>79.0</v>
      </c>
      <c r="B282" s="258">
        <v>79.0</v>
      </c>
      <c r="C282" s="260">
        <v>285.0</v>
      </c>
      <c r="D282" s="260" t="str">
        <f>IFERROR(__xludf.DUMMYFUNCTION("if(B282&lt;=999,if(B282&lt;=99,IF(B282&lt;=9,join(,""000"",B282),join(,""00"",B282)),join(,""0"",B282)),B282)"),"0079")</f>
        <v>0079</v>
      </c>
      <c r="E282" s="262" t="s">
        <v>704</v>
      </c>
      <c r="F282" s="263" t="str">
        <f>vlookup(B282,'Geotagging Master All-Training '!$A$2:$C$2474,2,false)</f>
        <v>#N/A</v>
      </c>
      <c r="G282" s="263" t="str">
        <f>vlookup(B282,'Geotagging Master All-Training '!$A$2:$C$2474,3,false)</f>
        <v>#N/A</v>
      </c>
      <c r="H282" s="265" t="s">
        <v>20</v>
      </c>
      <c r="I282" s="266" t="e">
        <v>#N/A</v>
      </c>
    </row>
    <row r="283" hidden="1">
      <c r="A283" s="258">
        <v>1226.0</v>
      </c>
      <c r="B283" s="258">
        <v>1226.0</v>
      </c>
      <c r="C283" s="260">
        <v>286.0</v>
      </c>
      <c r="D283" s="260">
        <f>IFERROR(__xludf.DUMMYFUNCTION("if(B283&lt;=999,if(B283&lt;=99,IF(B283&lt;=9,join(,""000"",B283),join(,""00"",B283)),join(,""0"",B283)),B283)"),1226.0)</f>
        <v>1226</v>
      </c>
      <c r="E283" s="262" t="s">
        <v>710</v>
      </c>
      <c r="F283" s="263" t="str">
        <f>vlookup(B283,'Geotagging Master All-Training '!$A$2:$C$2474,2,false)</f>
        <v>#N/A</v>
      </c>
      <c r="G283" s="263" t="str">
        <f>vlookup(B283,'Geotagging Master All-Training '!$A$2:$C$2474,3,false)</f>
        <v>#N/A</v>
      </c>
      <c r="H283" s="265" t="s">
        <v>20</v>
      </c>
      <c r="I283" s="266" t="e">
        <v>#N/A</v>
      </c>
    </row>
    <row r="284" hidden="1">
      <c r="A284" s="258">
        <v>1347.0</v>
      </c>
      <c r="B284" s="259">
        <v>1347.0</v>
      </c>
      <c r="C284" s="260">
        <v>287.0</v>
      </c>
      <c r="D284" s="260">
        <v>1347.0</v>
      </c>
      <c r="E284" s="270" t="s">
        <v>711</v>
      </c>
      <c r="F284" s="263" t="str">
        <f>vlookup(B284,'Geotagging Master All-Training '!$A$2:$C$2474,2,false)</f>
        <v>#N/A</v>
      </c>
      <c r="G284" s="263" t="str">
        <f>vlookup(B284,'Geotagging Master All-Training '!$A$2:$C$2474,3,false)</f>
        <v>#N/A</v>
      </c>
      <c r="H284" s="265" t="s">
        <v>20</v>
      </c>
      <c r="I284" s="266" t="e">
        <v>#N/A</v>
      </c>
    </row>
    <row r="285" hidden="1">
      <c r="A285" s="258">
        <v>759.0</v>
      </c>
      <c r="B285" s="258">
        <v>759.0</v>
      </c>
      <c r="C285" s="260">
        <v>288.0</v>
      </c>
      <c r="D285" s="260" t="str">
        <f>IFERROR(__xludf.DUMMYFUNCTION("if(B285&lt;=999,if(B285&lt;=99,IF(B285&lt;=9,join(,""000"",B285),join(,""00"",B285)),join(,""0"",B285)),B285)"),"0759")</f>
        <v>0759</v>
      </c>
      <c r="E285" s="270" t="s">
        <v>713</v>
      </c>
      <c r="F285" s="263" t="str">
        <f>vlookup(B285,'Geotagging Master All-Training '!$A$2:$C$2474,2,false)</f>
        <v>#N/A</v>
      </c>
      <c r="G285" s="263" t="str">
        <f>vlookup(B285,'Geotagging Master All-Training '!$A$2:$C$2474,3,false)</f>
        <v>#N/A</v>
      </c>
      <c r="H285" s="265" t="s">
        <v>20</v>
      </c>
      <c r="I285" s="266">
        <v>37777.0</v>
      </c>
    </row>
    <row r="286" hidden="1">
      <c r="A286" s="258">
        <v>63.0</v>
      </c>
      <c r="B286" s="259">
        <v>63.0</v>
      </c>
      <c r="C286" s="260">
        <v>289.0</v>
      </c>
      <c r="D286" s="260" t="str">
        <f>IFERROR(__xludf.DUMMYFUNCTION("if(B286&lt;=999,if(B286&lt;=99,IF(B286&lt;=9,join(,""000"",B286),join(,""00"",B286)),join(,""0"",B286)),B286)"),"0063")</f>
        <v>0063</v>
      </c>
      <c r="E286" s="262" t="s">
        <v>715</v>
      </c>
      <c r="F286" s="263" t="str">
        <f>vlookup(B286,'Geotagging Master All-Training '!$A$2:$C$2474,2,false)</f>
        <v>#N/A</v>
      </c>
      <c r="G286" s="263" t="str">
        <f>vlookup(B286,'Geotagging Master All-Training '!$A$2:$C$2474,3,false)</f>
        <v>#N/A</v>
      </c>
      <c r="H286" s="265" t="s">
        <v>20</v>
      </c>
      <c r="I286" s="266" t="s">
        <v>717</v>
      </c>
    </row>
    <row r="287" hidden="1">
      <c r="A287" s="258">
        <v>1047.0</v>
      </c>
      <c r="B287" s="258">
        <v>1047.0</v>
      </c>
      <c r="C287" s="260">
        <v>291.0</v>
      </c>
      <c r="D287" s="260">
        <f>IFERROR(__xludf.DUMMYFUNCTION("if(B287&lt;=999,if(B287&lt;=99,IF(B287&lt;=9,join(,""000"",B287),join(,""00"",B287)),join(,""0"",B287)),B287)"),1047.0)</f>
        <v>1047</v>
      </c>
      <c r="E287" s="270" t="s">
        <v>719</v>
      </c>
      <c r="F287" s="263" t="str">
        <f>vlookup(B287,'Geotagging Master All-Training '!$A$2:$C$2474,2,false)</f>
        <v>#N/A</v>
      </c>
      <c r="G287" s="263" t="str">
        <f>vlookup(B287,'Geotagging Master All-Training '!$A$2:$C$2474,3,false)</f>
        <v>#N/A</v>
      </c>
      <c r="H287" s="265" t="s">
        <v>20</v>
      </c>
      <c r="I287" s="266"/>
    </row>
    <row r="288" hidden="1">
      <c r="A288" s="258">
        <v>247.0</v>
      </c>
      <c r="B288" s="258">
        <v>247.0</v>
      </c>
      <c r="C288" s="260">
        <v>292.0</v>
      </c>
      <c r="D288" s="260" t="str">
        <f>IFERROR(__xludf.DUMMYFUNCTION("if(B288&lt;=999,if(B288&lt;=99,IF(B288&lt;=9,join(,""000"",B288),join(,""00"",B288)),join(,""0"",B288)),B288)"),"0247")</f>
        <v>0247</v>
      </c>
      <c r="E288" s="262" t="s">
        <v>721</v>
      </c>
      <c r="F288" s="263" t="str">
        <f>vlookup(B288,'Geotagging Master All-Training '!$A$2:$C$2474,2,false)</f>
        <v>#N/A</v>
      </c>
      <c r="G288" s="263" t="str">
        <f>vlookup(B288,'Geotagging Master All-Training '!$A$2:$C$2474,3,false)</f>
        <v>#N/A</v>
      </c>
      <c r="H288" s="265" t="s">
        <v>20</v>
      </c>
      <c r="I288" s="266" t="s">
        <v>722</v>
      </c>
    </row>
    <row r="289" hidden="1">
      <c r="A289" s="258">
        <v>75.0</v>
      </c>
      <c r="B289" s="258">
        <v>75.0</v>
      </c>
      <c r="C289" s="260">
        <v>293.0</v>
      </c>
      <c r="D289" s="260" t="str">
        <f>IFERROR(__xludf.DUMMYFUNCTION("if(B289&lt;=999,if(B289&lt;=99,IF(B289&lt;=9,join(,""000"",B289),join(,""00"",B289)),join(,""0"",B289)),B289)"),"0075")</f>
        <v>0075</v>
      </c>
      <c r="E289" s="262" t="s">
        <v>723</v>
      </c>
      <c r="F289" s="263" t="str">
        <f>vlookup(B289,'Geotagging Master All-Training '!$A$2:$C$2474,2,false)</f>
        <v>#N/A</v>
      </c>
      <c r="G289" s="263" t="str">
        <f>vlookup(B289,'Geotagging Master All-Training '!$A$2:$C$2474,3,false)</f>
        <v>#N/A</v>
      </c>
      <c r="H289" s="265" t="s">
        <v>20</v>
      </c>
      <c r="I289" s="266"/>
    </row>
    <row r="290" hidden="1">
      <c r="A290" s="258">
        <v>312.0</v>
      </c>
      <c r="B290" s="258">
        <v>312.0</v>
      </c>
      <c r="C290" s="260">
        <v>294.0</v>
      </c>
      <c r="D290" s="260" t="str">
        <f>IFERROR(__xludf.DUMMYFUNCTION("if(B290&lt;=999,if(B290&lt;=99,IF(B290&lt;=9,join(,""000"",B290),join(,""00"",B290)),join(,""0"",B290)),B290)"),"0312")</f>
        <v>0312</v>
      </c>
      <c r="E290" s="262" t="s">
        <v>725</v>
      </c>
      <c r="F290" s="263" t="str">
        <f>vlookup(B290,'Geotagging Master All-Training '!$A$2:$C$2474,2,false)</f>
        <v>#N/A</v>
      </c>
      <c r="G290" s="263" t="str">
        <f>vlookup(B290,'Geotagging Master All-Training '!$A$2:$C$2474,3,false)</f>
        <v>#N/A</v>
      </c>
      <c r="H290" s="265" t="s">
        <v>20</v>
      </c>
      <c r="I290" s="266"/>
    </row>
    <row r="291" hidden="1">
      <c r="A291" s="272">
        <v>1312.0</v>
      </c>
      <c r="B291" s="272">
        <v>1312.0</v>
      </c>
      <c r="C291" s="260">
        <v>295.0</v>
      </c>
      <c r="D291" s="273">
        <f>IFERROR(__xludf.DUMMYFUNCTION("if(B291&lt;=999,if(B291&lt;=99,IF(B291&lt;=9,join(,""000"",B291),join(,""00"",B291)),join(,""0"",B291)),B291)"),1312.0)</f>
        <v>1312</v>
      </c>
      <c r="E291" s="304" t="s">
        <v>726</v>
      </c>
      <c r="F291" s="263" t="str">
        <f>vlookup(B291,'Geotagging Master All-Training '!$A$2:$C$2474,2,false)</f>
        <v>#N/A</v>
      </c>
      <c r="G291" s="263" t="str">
        <f>vlookup(B291,'Geotagging Master All-Training '!$A$2:$C$2474,3,false)</f>
        <v>#N/A</v>
      </c>
      <c r="H291" s="276" t="s">
        <v>20</v>
      </c>
      <c r="I291" s="277">
        <v>800.0</v>
      </c>
    </row>
    <row r="292" hidden="1">
      <c r="A292" s="258">
        <v>809.0</v>
      </c>
      <c r="B292" s="259">
        <v>809.0</v>
      </c>
      <c r="C292" s="260">
        <v>296.0</v>
      </c>
      <c r="D292" s="260" t="str">
        <f>IFERROR(__xludf.DUMMYFUNCTION("if(B292&lt;=999,if(B292&lt;=99,IF(B292&lt;=9,join(,""000"",B292),join(,""00"",B292)),join(,""0"",B292)),B292)"),"0809")</f>
        <v>0809</v>
      </c>
      <c r="E292" s="270" t="s">
        <v>1179</v>
      </c>
      <c r="F292" s="263" t="str">
        <f>vlookup(B292,'Geotagging Master All-Training '!$A$2:$C$2474,2,false)</f>
        <v>#N/A</v>
      </c>
      <c r="G292" s="263" t="str">
        <f>vlookup(B292,'Geotagging Master All-Training '!$A$2:$C$2474,3,false)</f>
        <v>#N/A</v>
      </c>
      <c r="H292" s="265" t="s">
        <v>20</v>
      </c>
      <c r="I292" s="266" t="e">
        <v>#N/A</v>
      </c>
    </row>
    <row r="293" hidden="1">
      <c r="A293" s="272">
        <v>797.0</v>
      </c>
      <c r="B293" s="272">
        <v>797.0</v>
      </c>
      <c r="C293" s="273">
        <v>309.0</v>
      </c>
      <c r="D293" s="273" t="str">
        <f>IFERROR(__xludf.DUMMYFUNCTION("if(B293&lt;=999,if(B293&lt;=99,IF(B293&lt;=9,join(,""000"",B293),join(,""00"",B293)),join(,""0"",B293)),B293)"),"0797")</f>
        <v>0797</v>
      </c>
      <c r="E293" s="304" t="s">
        <v>1181</v>
      </c>
      <c r="F293" s="303" t="str">
        <f>vlookup(B293,'Geotagging Master All-Training '!$A$2:$C$2474,2,false)</f>
        <v>#N/A</v>
      </c>
      <c r="G293" s="303" t="str">
        <f>vlookup(B293,'Geotagging Master All-Training '!$A$2:$C$2474,3,false)</f>
        <v>#N/A</v>
      </c>
      <c r="H293" s="276" t="s">
        <v>20</v>
      </c>
      <c r="I293" s="277" t="e">
        <v>#N/A</v>
      </c>
    </row>
    <row r="294" hidden="1">
      <c r="A294" s="258">
        <v>1300.0</v>
      </c>
      <c r="B294" s="259">
        <v>1300.0</v>
      </c>
      <c r="C294" s="260">
        <v>298.0</v>
      </c>
      <c r="D294" s="260">
        <f>IFERROR(__xludf.DUMMYFUNCTION("if(B294&lt;=999,if(B294&lt;=99,IF(B294&lt;=9,join(,""000"",B294),join(,""00"",B294)),join(,""0"",B294)),B294)"),1300.0)</f>
        <v>1300</v>
      </c>
      <c r="E294" s="270" t="s">
        <v>733</v>
      </c>
      <c r="F294" s="263" t="str">
        <f>vlookup(B294,'Geotagging Master All-Training '!$A$2:$C$2474,2,false)</f>
        <v>#N/A</v>
      </c>
      <c r="G294" s="263" t="str">
        <f>vlookup(B294,'Geotagging Master All-Training '!$A$2:$C$2474,3,false)</f>
        <v>#N/A</v>
      </c>
      <c r="H294" s="265" t="s">
        <v>20</v>
      </c>
      <c r="I294" s="266"/>
    </row>
    <row r="295" hidden="1">
      <c r="A295" s="258">
        <v>1219.0</v>
      </c>
      <c r="B295" s="258">
        <v>1219.0</v>
      </c>
      <c r="C295" s="260">
        <v>299.0</v>
      </c>
      <c r="D295" s="260">
        <f>IFERROR(__xludf.DUMMYFUNCTION("if(B295&lt;=999,if(B295&lt;=99,IF(B295&lt;=9,join(,""000"",B295),join(,""00"",B295)),join(,""0"",B295)),B295)"),1219.0)</f>
        <v>1219</v>
      </c>
      <c r="E295" s="270" t="s">
        <v>736</v>
      </c>
      <c r="F295" s="263" t="str">
        <f>vlookup(B295,'Geotagging Master All-Training '!$A$2:$C$2474,2,false)</f>
        <v>#N/A</v>
      </c>
      <c r="G295" s="263" t="str">
        <f>vlookup(B295,'Geotagging Master All-Training '!$A$2:$C$2474,3,false)</f>
        <v>#N/A</v>
      </c>
      <c r="H295" s="265" t="s">
        <v>20</v>
      </c>
      <c r="I295" s="266" t="e">
        <v>#N/A</v>
      </c>
    </row>
    <row r="296" hidden="1">
      <c r="A296" s="258">
        <v>1139.0</v>
      </c>
      <c r="B296" s="258">
        <v>1139.0</v>
      </c>
      <c r="C296" s="260">
        <v>300.0</v>
      </c>
      <c r="D296" s="260">
        <f>IFERROR(__xludf.DUMMYFUNCTION("if(B296&lt;=999,if(B296&lt;=99,IF(B296&lt;=9,join(,""000"",B296),join(,""00"",B296)),join(,""0"",B296)),B296)"),1139.0)</f>
        <v>1139</v>
      </c>
      <c r="E296" s="262" t="s">
        <v>737</v>
      </c>
      <c r="F296" s="263" t="str">
        <f>vlookup(B296,'Geotagging Master All-Training '!$A$2:$C$2474,2,false)</f>
        <v>#N/A</v>
      </c>
      <c r="G296" s="263" t="str">
        <f>vlookup(B296,'Geotagging Master All-Training '!$A$2:$C$2474,3,false)</f>
        <v>#N/A</v>
      </c>
      <c r="H296" s="265" t="s">
        <v>20</v>
      </c>
      <c r="I296" s="266">
        <v>2501.0</v>
      </c>
    </row>
    <row r="297" hidden="1">
      <c r="A297" s="272">
        <v>784.0</v>
      </c>
      <c r="B297" s="272">
        <v>784.0</v>
      </c>
      <c r="C297" s="260">
        <v>301.0</v>
      </c>
      <c r="D297" s="273" t="str">
        <f>IFERROR(__xludf.DUMMYFUNCTION("if(B297&lt;=999,if(B297&lt;=99,IF(B297&lt;=9,join(,""000"",B297),join(,""00"",B297)),join(,""0"",B297)),B297)"),"0784")</f>
        <v>0784</v>
      </c>
      <c r="E297" s="304" t="s">
        <v>739</v>
      </c>
      <c r="F297" s="263" t="str">
        <f>vlookup(B297,'Geotagging Master All-Training '!$A$2:$C$2474,2,false)</f>
        <v>#N/A</v>
      </c>
      <c r="G297" s="263" t="str">
        <f>vlookup(B297,'Geotagging Master All-Training '!$A$2:$C$2474,3,false)</f>
        <v>#N/A</v>
      </c>
      <c r="H297" s="276" t="s">
        <v>20</v>
      </c>
      <c r="I297" s="277">
        <v>8025001.0</v>
      </c>
    </row>
    <row r="298" hidden="1">
      <c r="A298" s="258">
        <v>1306.0</v>
      </c>
      <c r="B298" s="259">
        <v>1306.0</v>
      </c>
      <c r="C298" s="260">
        <v>302.0</v>
      </c>
      <c r="D298" s="260">
        <f>IFERROR(__xludf.DUMMYFUNCTION("if(B298&lt;=999,if(B298&lt;=99,IF(B298&lt;=9,join(,""000"",B298),join(,""00"",B298)),join(,""0"",B298)),B298)"),1306.0)</f>
        <v>1306</v>
      </c>
      <c r="E298" s="262" t="s">
        <v>741</v>
      </c>
      <c r="F298" s="263" t="str">
        <f>vlookup(B298,'Geotagging Master All-Training '!$A$2:$C$2474,2,false)</f>
        <v>#N/A</v>
      </c>
      <c r="G298" s="263" t="str">
        <f>vlookup(B298,'Geotagging Master All-Training '!$A$2:$C$2474,3,false)</f>
        <v>#N/A</v>
      </c>
      <c r="H298" s="265" t="s">
        <v>20</v>
      </c>
      <c r="I298" s="266">
        <v>16.0</v>
      </c>
    </row>
    <row r="299" hidden="1">
      <c r="A299" s="258">
        <v>1218.0</v>
      </c>
      <c r="B299" s="258">
        <v>1218.0</v>
      </c>
      <c r="C299" s="260">
        <v>303.0</v>
      </c>
      <c r="D299" s="260">
        <f>IFERROR(__xludf.DUMMYFUNCTION("if(B299&lt;=999,if(B299&lt;=99,IF(B299&lt;=9,join(,""000"",B299),join(,""00"",B299)),join(,""0"",B299)),B299)"),1218.0)</f>
        <v>1218</v>
      </c>
      <c r="E299" s="262" t="s">
        <v>744</v>
      </c>
      <c r="F299" s="263" t="str">
        <f>vlookup(B299,'Geotagging Master All-Training '!$A$2:$C$2474,2,false)</f>
        <v>#N/A</v>
      </c>
      <c r="G299" s="263" t="str">
        <f>vlookup(B299,'Geotagging Master All-Training '!$A$2:$C$2474,3,false)</f>
        <v>#N/A</v>
      </c>
      <c r="H299" s="265" t="s">
        <v>20</v>
      </c>
      <c r="I299" s="266">
        <v>16.0</v>
      </c>
    </row>
    <row r="300" ht="18.75" hidden="1" customHeight="1">
      <c r="A300" s="258">
        <v>16.0</v>
      </c>
      <c r="B300" s="258">
        <v>16.0</v>
      </c>
      <c r="C300" s="260">
        <v>304.0</v>
      </c>
      <c r="D300" s="260" t="str">
        <f>IFERROR(__xludf.DUMMYFUNCTION("if(B300&lt;=999,if(B300&lt;=99,IF(B300&lt;=9,join(,""000"",B300),join(,""00"",B300)),join(,""0"",B300)),B300)"),"0016")</f>
        <v>0016</v>
      </c>
      <c r="E300" s="262" t="s">
        <v>746</v>
      </c>
      <c r="F300" s="263" t="str">
        <f>vlookup(B300,'Geotagging Master All-Training '!$A$2:$C$2474,2,false)</f>
        <v>#N/A</v>
      </c>
      <c r="G300" s="263" t="str">
        <f>vlookup(B300,'Geotagging Master All-Training '!$A$2:$C$2474,3,false)</f>
        <v>#N/A</v>
      </c>
      <c r="H300" s="265" t="s">
        <v>20</v>
      </c>
      <c r="I300" s="266" t="s">
        <v>749</v>
      </c>
    </row>
    <row r="301" ht="19.5" hidden="1" customHeight="1">
      <c r="A301" s="258">
        <v>1646.0</v>
      </c>
      <c r="B301" s="258">
        <v>1646.0</v>
      </c>
      <c r="C301" s="260">
        <v>305.0</v>
      </c>
      <c r="D301" s="260">
        <f>IFERROR(__xludf.DUMMYFUNCTION("if(B301&lt;=999,if(B301&lt;=99,IF(B301&lt;=9,join(,""000"",B301),join(,""00"",B301)),join(,""0"",B301)),B301)"),1646.0)</f>
        <v>1646</v>
      </c>
      <c r="E301" s="262" t="s">
        <v>750</v>
      </c>
      <c r="F301" s="263" t="str">
        <f>vlookup(B301,'Geotagging Master All-Training '!$A$2:$C$2474,2,false)</f>
        <v>#N/A</v>
      </c>
      <c r="G301" s="263" t="str">
        <f>vlookup(B301,'Geotagging Master All-Training '!$A$2:$C$2474,3,false)</f>
        <v>#N/A</v>
      </c>
      <c r="H301" s="265" t="s">
        <v>20</v>
      </c>
      <c r="I301" s="266" t="s">
        <v>752</v>
      </c>
    </row>
    <row r="302" hidden="1">
      <c r="A302" s="258">
        <v>1138.0</v>
      </c>
      <c r="B302" s="258">
        <v>1138.0</v>
      </c>
      <c r="C302" s="260">
        <v>306.0</v>
      </c>
      <c r="D302" s="260">
        <f>IFERROR(__xludf.DUMMYFUNCTION("if(B302&lt;=999,if(B302&lt;=99,IF(B302&lt;=9,join(,""000"",B302),join(,""00"",B302)),join(,""0"",B302)),B302)"),1138.0)</f>
        <v>1138</v>
      </c>
      <c r="E302" s="270" t="s">
        <v>753</v>
      </c>
      <c r="F302" s="263" t="str">
        <f>vlookup(B302,'Geotagging Master All-Training '!$A$2:$C$2474,2,false)</f>
        <v>#N/A</v>
      </c>
      <c r="G302" s="263" t="str">
        <f>vlookup(B302,'Geotagging Master All-Training '!$A$2:$C$2474,3,false)</f>
        <v>#N/A</v>
      </c>
      <c r="H302" s="265" t="s">
        <v>20</v>
      </c>
      <c r="I302" s="266"/>
    </row>
    <row r="303" hidden="1">
      <c r="A303" s="258">
        <v>1109.0</v>
      </c>
      <c r="B303" s="258">
        <v>1109.0</v>
      </c>
      <c r="C303" s="260">
        <v>307.0</v>
      </c>
      <c r="D303" s="260">
        <f>IFERROR(__xludf.DUMMYFUNCTION("if(B303&lt;=999,if(B303&lt;=99,IF(B303&lt;=9,join(,""000"",B303),join(,""00"",B303)),join(,""0"",B303)),B303)"),1109.0)</f>
        <v>1109</v>
      </c>
      <c r="E303" s="270" t="s">
        <v>755</v>
      </c>
      <c r="F303" s="263" t="str">
        <f>vlookup(B303,'Geotagging Master All-Training '!$A$2:$C$2474,2,false)</f>
        <v>#N/A</v>
      </c>
      <c r="G303" s="263" t="str">
        <f>vlookup(B303,'Geotagging Master All-Training '!$A$2:$C$2474,3,false)</f>
        <v>#N/A</v>
      </c>
      <c r="H303" s="265" t="s">
        <v>20</v>
      </c>
      <c r="I303" s="266">
        <v>80.0</v>
      </c>
    </row>
    <row r="304" hidden="1">
      <c r="A304" s="258">
        <v>1016.0</v>
      </c>
      <c r="B304" s="259">
        <v>1016.0</v>
      </c>
      <c r="C304" s="260">
        <v>308.0</v>
      </c>
      <c r="D304" s="260">
        <f>IFERROR(__xludf.DUMMYFUNCTION("if(B304&lt;=999,if(B304&lt;=99,IF(B304&lt;=9,join(,""000"",B304),join(,""00"",B304)),join(,""0"",B304)),B304)"),1016.0)</f>
        <v>1016</v>
      </c>
      <c r="E304" s="270" t="s">
        <v>756</v>
      </c>
      <c r="F304" s="263" t="str">
        <f>vlookup(B304,'Geotagging Master All-Training '!$A$2:$C$2474,2,false)</f>
        <v>#N/A</v>
      </c>
      <c r="G304" s="263" t="str">
        <f>vlookup(B304,'Geotagging Master All-Training '!$A$2:$C$2474,3,false)</f>
        <v>#N/A</v>
      </c>
      <c r="H304" s="265" t="s">
        <v>20</v>
      </c>
      <c r="I304" s="266">
        <v>80.0</v>
      </c>
    </row>
    <row r="305" hidden="1">
      <c r="A305" s="272">
        <v>69.0</v>
      </c>
      <c r="B305" s="272">
        <v>69.0</v>
      </c>
      <c r="C305" s="273">
        <v>316.0</v>
      </c>
      <c r="D305" s="273" t="str">
        <f>IFERROR(__xludf.DUMMYFUNCTION("if(B305&lt;=999,if(B305&lt;=99,IF(B305&lt;=9,join(,""000"",B305),join(,""00"",B305)),join(,""0"",B305)),B305)"),"0069")</f>
        <v>0069</v>
      </c>
      <c r="E305" s="304" t="s">
        <v>1182</v>
      </c>
      <c r="F305" s="303" t="str">
        <f>vlookup(B305,'Geotagging Master All-Training '!$A$2:$C$2474,2,false)</f>
        <v>#N/A</v>
      </c>
      <c r="G305" s="303" t="str">
        <f>vlookup(B305,'Geotagging Master All-Training '!$A$2:$C$2474,3,false)</f>
        <v>#N/A</v>
      </c>
      <c r="H305" s="276" t="s">
        <v>20</v>
      </c>
      <c r="I305" s="277" t="e">
        <v>#N/A</v>
      </c>
    </row>
    <row r="306" hidden="1">
      <c r="A306" s="272">
        <v>1269.0</v>
      </c>
      <c r="B306" s="272">
        <v>1269.0</v>
      </c>
      <c r="C306" s="260">
        <v>310.0</v>
      </c>
      <c r="D306" s="273">
        <f>IFERROR(__xludf.DUMMYFUNCTION("if(B306&lt;=999,if(B306&lt;=99,IF(B306&lt;=9,join(,""000"",B306),join(,""00"",B306)),join(,""0"",B306)),B306)"),1269.0)</f>
        <v>1269</v>
      </c>
      <c r="E306" s="274" t="s">
        <v>759</v>
      </c>
      <c r="F306" s="263" t="str">
        <f>vlookup(B306,'Geotagging Master All-Training '!$A$2:$C$2474,2,false)</f>
        <v>#N/A</v>
      </c>
      <c r="G306" s="263" t="str">
        <f>vlookup(B306,'Geotagging Master All-Training '!$A$2:$C$2474,3,false)</f>
        <v>#N/A</v>
      </c>
      <c r="H306" s="276" t="s">
        <v>20</v>
      </c>
      <c r="I306" s="277">
        <v>80.0</v>
      </c>
    </row>
    <row r="307" hidden="1">
      <c r="A307" s="258">
        <v>1439.0</v>
      </c>
      <c r="B307" s="258">
        <v>1439.0</v>
      </c>
      <c r="C307" s="260">
        <v>311.0</v>
      </c>
      <c r="D307" s="260">
        <f>IFERROR(__xludf.DUMMYFUNCTION("if(B307&lt;=999,if(B307&lt;=99,IF(B307&lt;=9,join(,""000"",B307),join(,""00"",B307)),join(,""0"",B307)),B307)"),1439.0)</f>
        <v>1439</v>
      </c>
      <c r="E307" s="262" t="s">
        <v>763</v>
      </c>
      <c r="F307" s="263" t="str">
        <f>vlookup(B307,'Geotagging Master All-Training '!$A$2:$C$2474,2,false)</f>
        <v>#N/A</v>
      </c>
      <c r="G307" s="263" t="str">
        <f>vlookup(B307,'Geotagging Master All-Training '!$A$2:$C$2474,3,false)</f>
        <v>#N/A</v>
      </c>
      <c r="H307" s="265" t="s">
        <v>20</v>
      </c>
      <c r="I307" s="266">
        <v>25.0</v>
      </c>
    </row>
    <row r="308" hidden="1">
      <c r="A308" s="258">
        <v>1100.0</v>
      </c>
      <c r="B308" s="258">
        <v>1100.0</v>
      </c>
      <c r="C308" s="260">
        <v>312.0</v>
      </c>
      <c r="D308" s="260">
        <f>IFERROR(__xludf.DUMMYFUNCTION("if(B308&lt;=999,if(B308&lt;=99,IF(B308&lt;=9,join(,""000"",B308),join(,""00"",B308)),join(,""0"",B308)),B308)"),1100.0)</f>
        <v>1100</v>
      </c>
      <c r="E308" s="270" t="s">
        <v>765</v>
      </c>
      <c r="F308" s="263" t="str">
        <f>vlookup(B308,'Geotagging Master All-Training '!$A$2:$C$2474,2,false)</f>
        <v>#N/A</v>
      </c>
      <c r="G308" s="263" t="str">
        <f>vlookup(B308,'Geotagging Master All-Training '!$A$2:$C$2474,3,false)</f>
        <v>#N/A</v>
      </c>
      <c r="H308" s="265" t="s">
        <v>20</v>
      </c>
      <c r="I308" s="266">
        <v>36666.0</v>
      </c>
    </row>
    <row r="309" hidden="1">
      <c r="A309" s="258">
        <v>1232.0</v>
      </c>
      <c r="B309" s="258">
        <v>1232.0</v>
      </c>
      <c r="C309" s="260">
        <v>313.0</v>
      </c>
      <c r="D309" s="260">
        <f>IFERROR(__xludf.DUMMYFUNCTION("if(B309&lt;=999,if(B309&lt;=99,IF(B309&lt;=9,join(,""000"",B309),join(,""00"",B309)),join(,""0"",B309)),B309)"),1232.0)</f>
        <v>1232</v>
      </c>
      <c r="E309" s="270" t="s">
        <v>766</v>
      </c>
      <c r="F309" s="263" t="str">
        <f>vlookup(B309,'Geotagging Master All-Training '!$A$2:$C$2474,2,false)</f>
        <v>#N/A</v>
      </c>
      <c r="G309" s="263" t="str">
        <f>vlookup(B309,'Geotagging Master All-Training '!$A$2:$C$2474,3,false)</f>
        <v>#N/A</v>
      </c>
      <c r="H309" s="265" t="s">
        <v>20</v>
      </c>
      <c r="I309" s="266">
        <v>8.0</v>
      </c>
    </row>
    <row r="310" hidden="1">
      <c r="A310" s="272">
        <v>1361.0</v>
      </c>
      <c r="B310" s="272">
        <v>1361.0</v>
      </c>
      <c r="C310" s="260">
        <v>314.0</v>
      </c>
      <c r="D310" s="273">
        <f>IFERROR(__xludf.DUMMYFUNCTION("if(B310&lt;=999,if(B310&lt;=99,IF(B310&lt;=9,join(,""000"",B310),join(,""00"",B310)),join(,""0"",B310)),B310)"),1361.0)</f>
        <v>1361</v>
      </c>
      <c r="E310" s="304" t="s">
        <v>768</v>
      </c>
      <c r="F310" s="263" t="str">
        <f>vlookup(B310,'Geotagging Master All-Training '!$A$2:$C$2474,2,false)</f>
        <v>#N/A</v>
      </c>
      <c r="G310" s="263" t="str">
        <f>vlookup(B310,'Geotagging Master All-Training '!$A$2:$C$2474,3,false)</f>
        <v>#N/A</v>
      </c>
      <c r="H310" s="276" t="s">
        <v>20</v>
      </c>
      <c r="I310" s="277">
        <v>64.0</v>
      </c>
    </row>
    <row r="311" hidden="1">
      <c r="A311" s="272">
        <v>1223.0</v>
      </c>
      <c r="B311" s="272">
        <v>1223.0</v>
      </c>
      <c r="C311" s="260">
        <v>315.0</v>
      </c>
      <c r="D311" s="273">
        <f>IFERROR(__xludf.DUMMYFUNCTION("if(B311&lt;=999,if(B311&lt;=99,IF(B311&lt;=9,join(,""000"",B311),join(,""00"",B311)),join(,""0"",B311)),B311)"),1223.0)</f>
        <v>1223</v>
      </c>
      <c r="E311" s="274" t="s">
        <v>772</v>
      </c>
      <c r="F311" s="263" t="str">
        <f>vlookup(B311,'Geotagging Master All-Training '!$A$2:$C$2474,2,false)</f>
        <v>#N/A</v>
      </c>
      <c r="G311" s="263" t="str">
        <f>vlookup(B311,'Geotagging Master All-Training '!$A$2:$C$2474,3,false)</f>
        <v>#N/A</v>
      </c>
      <c r="H311" s="276" t="s">
        <v>20</v>
      </c>
      <c r="I311" s="277" t="e">
        <v>#N/A</v>
      </c>
    </row>
    <row r="312" hidden="1">
      <c r="A312" s="272">
        <v>231.0</v>
      </c>
      <c r="B312" s="272">
        <v>231.0</v>
      </c>
      <c r="C312" s="273">
        <v>322.0</v>
      </c>
      <c r="D312" s="273" t="str">
        <f>IFERROR(__xludf.DUMMYFUNCTION("if(B312&lt;=999,if(B312&lt;=99,IF(B312&lt;=9,join(,""000"",B312),join(,""00"",B312)),join(,""0"",B312)),B312)"),"0231")</f>
        <v>0231</v>
      </c>
      <c r="E312" s="304" t="s">
        <v>1289</v>
      </c>
      <c r="F312" s="303" t="str">
        <f>vlookup(B312,'Geotagging Master All-Training '!$A$2:$C$2474,2,false)</f>
        <v>#N/A</v>
      </c>
      <c r="G312" s="303" t="str">
        <f>vlookup(B312,'Geotagging Master All-Training '!$A$2:$C$2474,3,false)</f>
        <v>#N/A</v>
      </c>
      <c r="H312" s="315" t="s">
        <v>20</v>
      </c>
      <c r="I312" s="316"/>
    </row>
    <row r="313" hidden="1">
      <c r="A313" s="258">
        <v>1431.0</v>
      </c>
      <c r="B313" s="258">
        <v>1431.0</v>
      </c>
      <c r="C313" s="260">
        <v>317.0</v>
      </c>
      <c r="D313" s="260">
        <f>IFERROR(__xludf.DUMMYFUNCTION("if(B313&lt;=999,if(B313&lt;=99,IF(B313&lt;=9,join(,""000"",B313),join(,""00"",B313)),join(,""0"",B313)),B313)"),1431.0)</f>
        <v>1431</v>
      </c>
      <c r="E313" s="262" t="s">
        <v>779</v>
      </c>
      <c r="F313" s="263" t="str">
        <f>vlookup(B313,'Geotagging Master All-Training '!$A$2:$C$2474,2,false)</f>
        <v>#N/A</v>
      </c>
      <c r="G313" s="263" t="str">
        <f>vlookup(B313,'Geotagging Master All-Training '!$A$2:$C$2474,3,false)</f>
        <v>#N/A</v>
      </c>
      <c r="H313" s="265" t="s">
        <v>20</v>
      </c>
      <c r="I313" s="266">
        <v>16.0</v>
      </c>
    </row>
    <row r="314" hidden="1">
      <c r="A314" s="258">
        <v>1085.0</v>
      </c>
      <c r="B314" s="258">
        <v>1085.0</v>
      </c>
      <c r="C314" s="260">
        <v>318.0</v>
      </c>
      <c r="D314" s="260">
        <f>IFERROR(__xludf.DUMMYFUNCTION("if(B314&lt;=999,if(B314&lt;=99,IF(B314&lt;=9,join(,""000"",B314),join(,""00"",B314)),join(,""0"",B314)),B314)"),1085.0)</f>
        <v>1085</v>
      </c>
      <c r="E314" s="262" t="s">
        <v>782</v>
      </c>
      <c r="F314" s="263" t="str">
        <f>vlookup(B314,'Geotagging Master All-Training '!$A$2:$C$2474,2,false)</f>
        <v>#N/A</v>
      </c>
      <c r="G314" s="263" t="str">
        <f>vlookup(B314,'Geotagging Master All-Training '!$A$2:$C$2474,3,false)</f>
        <v>#N/A</v>
      </c>
      <c r="H314" s="265" t="s">
        <v>20</v>
      </c>
      <c r="I314" s="266">
        <v>8888.0</v>
      </c>
    </row>
    <row r="315" hidden="1">
      <c r="A315" s="258">
        <v>1052.0</v>
      </c>
      <c r="B315" s="258">
        <v>1052.0</v>
      </c>
      <c r="C315" s="260">
        <v>319.0</v>
      </c>
      <c r="D315" s="260">
        <f>IFERROR(__xludf.DUMMYFUNCTION("if(B315&lt;=999,if(B315&lt;=99,IF(B315&lt;=9,join(,""000"",B315),join(,""00"",B315)),join(,""0"",B315)),B315)"),1052.0)</f>
        <v>1052</v>
      </c>
      <c r="E315" s="262" t="s">
        <v>786</v>
      </c>
      <c r="F315" s="263" t="str">
        <f>vlookup(B315,'Geotagging Master All-Training '!$A$2:$C$2474,2,false)</f>
        <v>#N/A</v>
      </c>
      <c r="G315" s="263" t="str">
        <f>vlookup(B315,'Geotagging Master All-Training '!$A$2:$C$2474,3,false)</f>
        <v>#N/A</v>
      </c>
      <c r="H315" s="265" t="s">
        <v>20</v>
      </c>
      <c r="I315" s="266">
        <v>8888.0</v>
      </c>
    </row>
    <row r="316" hidden="1">
      <c r="A316" s="258">
        <v>512.0</v>
      </c>
      <c r="B316" s="259">
        <v>512.0</v>
      </c>
      <c r="C316" s="273">
        <v>16.0</v>
      </c>
      <c r="D316" s="260" t="str">
        <f>IFERROR(__xludf.DUMMYFUNCTION("if(B316&lt;=999,if(B316&lt;=99,IF(B316&lt;=9,join(,""000"",B316),join(,""00"",B316)),join(,""0"",B316)),B316)"),"0512")</f>
        <v>0512</v>
      </c>
      <c r="E316" s="270" t="s">
        <v>787</v>
      </c>
      <c r="F316" s="263" t="str">
        <f>vlookup(B316,'Geotagging Master All-Training '!$A$2:$C$2474,2,false)</f>
        <v>#N/A</v>
      </c>
      <c r="G316" s="263" t="str">
        <f>vlookup(B316,'Geotagging Master All-Training '!$A$2:$C$2474,3,false)</f>
        <v>#N/A</v>
      </c>
      <c r="H316" s="265" t="s">
        <v>35</v>
      </c>
      <c r="I316" s="266" t="e">
        <v>#N/A</v>
      </c>
    </row>
    <row r="317" hidden="1">
      <c r="A317" s="258">
        <v>1304.0</v>
      </c>
      <c r="B317" s="258">
        <v>1304.0</v>
      </c>
      <c r="C317" s="260">
        <v>321.0</v>
      </c>
      <c r="D317" s="260">
        <f>IFERROR(__xludf.DUMMYFUNCTION("if(B317&lt;=999,if(B317&lt;=99,IF(B317&lt;=9,join(,""000"",B317),join(,""00"",B317)),join(,""0"",B317)),B317)"),1304.0)</f>
        <v>1304</v>
      </c>
      <c r="E317" s="262" t="s">
        <v>788</v>
      </c>
      <c r="F317" s="263" t="str">
        <f>vlookup(B317,'Geotagging Master All-Training '!$A$2:$C$2474,2,false)</f>
        <v>#N/A</v>
      </c>
      <c r="G317" s="263" t="str">
        <f>vlookup(B317,'Geotagging Master All-Training '!$A$2:$C$2474,3,false)</f>
        <v>#N/A</v>
      </c>
      <c r="H317" s="265" t="s">
        <v>20</v>
      </c>
      <c r="I317" s="266" t="s">
        <v>791</v>
      </c>
    </row>
    <row r="318" hidden="1">
      <c r="A318" s="258">
        <v>647.0</v>
      </c>
      <c r="B318" s="258">
        <v>647.0</v>
      </c>
      <c r="C318" s="260">
        <v>323.0</v>
      </c>
      <c r="D318" s="260" t="str">
        <f>IFERROR(__xludf.DUMMYFUNCTION("if(B318&lt;=999,if(B318&lt;=99,IF(B318&lt;=9,join(,""000"",B318),join(,""00"",B318)),join(,""0"",B318)),B318)"),"0647")</f>
        <v>0647</v>
      </c>
      <c r="E318" s="262" t="s">
        <v>796</v>
      </c>
      <c r="F318" s="263" t="str">
        <f>vlookup(B318,'Geotagging Master All-Training '!$A$2:$C$2474,2,false)</f>
        <v>#N/A</v>
      </c>
      <c r="G318" s="263" t="str">
        <f>vlookup(B318,'Geotagging Master All-Training '!$A$2:$C$2474,3,false)</f>
        <v>#N/A</v>
      </c>
      <c r="H318" s="265" t="s">
        <v>20</v>
      </c>
      <c r="I318" s="266">
        <v>25001.0</v>
      </c>
    </row>
    <row r="319" hidden="1">
      <c r="A319" s="258">
        <v>1298.0</v>
      </c>
      <c r="B319" s="258">
        <v>1298.0</v>
      </c>
      <c r="C319" s="260">
        <v>324.0</v>
      </c>
      <c r="D319" s="260">
        <f>IFERROR(__xludf.DUMMYFUNCTION("if(B319&lt;=999,if(B319&lt;=99,IF(B319&lt;=9,join(,""000"",B319),join(,""00"",B319)),join(,""0"",B319)),B319)"),1298.0)</f>
        <v>1298</v>
      </c>
      <c r="E319" s="270" t="s">
        <v>799</v>
      </c>
      <c r="F319" s="263" t="str">
        <f>vlookup(B319,'Geotagging Master All-Training '!$A$2:$C$2474,2,false)</f>
        <v>#N/A</v>
      </c>
      <c r="G319" s="263" t="str">
        <f>vlookup(B319,'Geotagging Master All-Training '!$A$2:$C$2474,3,false)</f>
        <v>#N/A</v>
      </c>
      <c r="H319" s="265" t="s">
        <v>20</v>
      </c>
      <c r="I319" s="266" t="e">
        <v>#N/A</v>
      </c>
    </row>
    <row r="320" hidden="1">
      <c r="A320" s="272">
        <v>798.0</v>
      </c>
      <c r="B320" s="272">
        <v>798.0</v>
      </c>
      <c r="C320" s="273">
        <v>326.0</v>
      </c>
      <c r="D320" s="273" t="str">
        <f>IFERROR(__xludf.DUMMYFUNCTION("if(B320&lt;=999,if(B320&lt;=99,IF(B320&lt;=9,join(,""000"",B320),join(,""00"",B320)),join(,""0"",B320)),B320)"),"0798")</f>
        <v>0798</v>
      </c>
      <c r="E320" s="304" t="s">
        <v>804</v>
      </c>
      <c r="F320" s="303" t="str">
        <f>vlookup(B320,'Geotagging Master All-Training '!$A$2:$C$2474,2,false)</f>
        <v>#N/A</v>
      </c>
      <c r="G320" s="303" t="str">
        <f>vlookup(B320,'Geotagging Master All-Training '!$A$2:$C$2474,3,false)</f>
        <v>#N/A</v>
      </c>
      <c r="H320" s="276" t="s">
        <v>20</v>
      </c>
      <c r="I320" s="277"/>
    </row>
    <row r="321" hidden="1">
      <c r="A321" s="272">
        <v>1025.0</v>
      </c>
      <c r="B321" s="272">
        <v>1025.0</v>
      </c>
      <c r="C321" s="273">
        <v>337.0</v>
      </c>
      <c r="D321" s="273">
        <f>IFERROR(__xludf.DUMMYFUNCTION("if(B321&lt;=999,if(B321&lt;=99,IF(B321&lt;=9,join(,""000"",B321),join(,""00"",B321)),join(,""0"",B321)),B321)"),1025.0)</f>
        <v>1025</v>
      </c>
      <c r="E321" s="304" t="s">
        <v>209</v>
      </c>
      <c r="F321" s="303" t="str">
        <f>vlookup(B321,'Geotagging Master All-Training '!$A$2:$C$2474,2,false)</f>
        <v>#N/A</v>
      </c>
      <c r="G321" s="303" t="str">
        <f>vlookup(B321,'Geotagging Master All-Training '!$A$2:$C$2474,3,false)</f>
        <v>#N/A</v>
      </c>
      <c r="H321" s="276" t="s">
        <v>20</v>
      </c>
      <c r="I321" s="277">
        <v>18.0</v>
      </c>
    </row>
    <row r="322" hidden="1">
      <c r="A322" s="272">
        <v>1074.0</v>
      </c>
      <c r="B322" s="272">
        <v>1074.0</v>
      </c>
      <c r="C322" s="260">
        <v>327.0</v>
      </c>
      <c r="D322" s="273">
        <f>IFERROR(__xludf.DUMMYFUNCTION("if(B322&lt;=999,if(B322&lt;=99,IF(B322&lt;=9,join(,""000"",B322),join(,""00"",B322)),join(,""0"",B322)),B322)"),1074.0)</f>
        <v>1074</v>
      </c>
      <c r="E322" s="274" t="s">
        <v>807</v>
      </c>
      <c r="F322" s="263" t="str">
        <f>vlookup(B322,'Geotagging Master All-Training '!$A$2:$C$2474,2,false)</f>
        <v>#N/A</v>
      </c>
      <c r="G322" s="263" t="str">
        <f>vlookup(B322,'Geotagging Master All-Training '!$A$2:$C$2474,3,false)</f>
        <v>#N/A</v>
      </c>
      <c r="H322" s="276" t="s">
        <v>20</v>
      </c>
      <c r="I322" s="277">
        <v>80.0</v>
      </c>
    </row>
    <row r="323" hidden="1">
      <c r="A323" s="272">
        <v>530.0</v>
      </c>
      <c r="B323" s="272">
        <v>530.0</v>
      </c>
      <c r="C323" s="260">
        <v>328.0</v>
      </c>
      <c r="D323" s="273" t="str">
        <f>IFERROR(__xludf.DUMMYFUNCTION("if(B323&lt;=999,if(B323&lt;=99,IF(B323&lt;=9,join(,""000"",B323),join(,""00"",B323)),join(,""0"",B323)),B323)"),"0530")</f>
        <v>0530</v>
      </c>
      <c r="E323" s="274" t="s">
        <v>809</v>
      </c>
      <c r="F323" s="263" t="str">
        <f>vlookup(B323,'Geotagging Master All-Training '!$A$2:$C$2474,2,false)</f>
        <v>#N/A</v>
      </c>
      <c r="G323" s="263" t="str">
        <f>vlookup(B323,'Geotagging Master All-Training '!$A$2:$C$2474,3,false)</f>
        <v>#N/A</v>
      </c>
      <c r="H323" s="276" t="s">
        <v>20</v>
      </c>
      <c r="I323" s="277" t="s">
        <v>811</v>
      </c>
    </row>
    <row r="324" hidden="1">
      <c r="A324" s="258">
        <v>741.0</v>
      </c>
      <c r="B324" s="258">
        <v>741.0</v>
      </c>
      <c r="C324" s="260">
        <v>329.0</v>
      </c>
      <c r="D324" s="260" t="str">
        <f>IFERROR(__xludf.DUMMYFUNCTION("if(B324&lt;=999,if(B324&lt;=99,IF(B324&lt;=9,join(,""000"",B324),join(,""00"",B324)),join(,""0"",B324)),B324)"),"0741")</f>
        <v>0741</v>
      </c>
      <c r="E324" s="270" t="s">
        <v>812</v>
      </c>
      <c r="F324" s="263" t="str">
        <f>vlookup(B324,'Geotagging Master All-Training '!$A$2:$C$2474,2,false)</f>
        <v>#N/A</v>
      </c>
      <c r="G324" s="263" t="str">
        <f>vlookup(B324,'Geotagging Master All-Training '!$A$2:$C$2474,3,false)</f>
        <v>#N/A</v>
      </c>
      <c r="H324" s="265" t="s">
        <v>20</v>
      </c>
      <c r="I324" s="266"/>
    </row>
    <row r="325" hidden="1">
      <c r="A325" s="258">
        <v>227.0</v>
      </c>
      <c r="B325" s="259">
        <v>227.0</v>
      </c>
      <c r="C325" s="260">
        <v>330.0</v>
      </c>
      <c r="D325" s="260" t="str">
        <f>IFERROR(__xludf.DUMMYFUNCTION("if(B325&lt;=999,if(B325&lt;=99,IF(B325&lt;=9,join(,""000"",B325),join(,""00"",B325)),join(,""0"",B325)),B325)"),"0227")</f>
        <v>0227</v>
      </c>
      <c r="E325" s="270" t="s">
        <v>814</v>
      </c>
      <c r="F325" s="263" t="str">
        <f>vlookup(B325,'Geotagging Master All-Training '!$A$2:$C$2474,2,false)</f>
        <v>#N/A</v>
      </c>
      <c r="G325" s="263" t="str">
        <f>vlookup(B325,'Geotagging Master All-Training '!$A$2:$C$2474,3,false)</f>
        <v>#N/A</v>
      </c>
      <c r="H325" s="265" t="s">
        <v>20</v>
      </c>
      <c r="I325" s="266"/>
    </row>
    <row r="326" hidden="1">
      <c r="A326" s="258">
        <v>1233.0</v>
      </c>
      <c r="B326" s="258">
        <v>1233.0</v>
      </c>
      <c r="C326" s="260">
        <v>331.0</v>
      </c>
      <c r="D326" s="260">
        <f>IFERROR(__xludf.DUMMYFUNCTION("if(B326&lt;=999,if(B326&lt;=99,IF(B326&lt;=9,join(,""000"",B326),join(,""00"",B326)),join(,""0"",B326)),B326)"),1233.0)</f>
        <v>1233</v>
      </c>
      <c r="E326" s="262" t="s">
        <v>815</v>
      </c>
      <c r="F326" s="263" t="str">
        <f>vlookup(B326,'Geotagging Master All-Training '!$A$2:$C$2474,2,false)</f>
        <v>#N/A</v>
      </c>
      <c r="G326" s="263" t="str">
        <f>vlookup(B326,'Geotagging Master All-Training '!$A$2:$C$2474,3,false)</f>
        <v>#N/A</v>
      </c>
      <c r="H326" s="265" t="s">
        <v>20</v>
      </c>
      <c r="I326" s="266">
        <v>80.0</v>
      </c>
    </row>
    <row r="327" hidden="1">
      <c r="A327" s="258">
        <v>1115.0</v>
      </c>
      <c r="B327" s="258">
        <v>1115.0</v>
      </c>
      <c r="C327" s="260">
        <v>332.0</v>
      </c>
      <c r="D327" s="260">
        <f>IFERROR(__xludf.DUMMYFUNCTION("if(B327&lt;=999,if(B327&lt;=99,IF(B327&lt;=9,join(,""000"",B327),join(,""00"",B327)),join(,""0"",B327)),B327)"),1115.0)</f>
        <v>1115</v>
      </c>
      <c r="E327" s="262" t="s">
        <v>817</v>
      </c>
      <c r="F327" s="263" t="str">
        <f>vlookup(B327,'Geotagging Master All-Training '!$A$2:$C$2474,2,false)</f>
        <v>#N/A</v>
      </c>
      <c r="G327" s="263" t="str">
        <f>vlookup(B327,'Geotagging Master All-Training '!$A$2:$C$2474,3,false)</f>
        <v>#N/A</v>
      </c>
      <c r="H327" s="265" t="s">
        <v>20</v>
      </c>
      <c r="I327" s="266">
        <v>80.0</v>
      </c>
    </row>
    <row r="328" hidden="1">
      <c r="A328" s="258">
        <v>219.0</v>
      </c>
      <c r="B328" s="258">
        <v>219.0</v>
      </c>
      <c r="C328" s="260">
        <v>333.0</v>
      </c>
      <c r="D328" s="260" t="str">
        <f>IFERROR(__xludf.DUMMYFUNCTION("if(B328&lt;=999,if(B328&lt;=99,IF(B328&lt;=9,join(,""000"",B328),join(,""00"",B328)),join(,""0"",B328)),B328)"),"0219")</f>
        <v>0219</v>
      </c>
      <c r="E328" s="262" t="s">
        <v>820</v>
      </c>
      <c r="F328" s="263" t="str">
        <f>vlookup(B328,'Geotagging Master All-Training '!$A$2:$C$2474,2,false)</f>
        <v>#N/A</v>
      </c>
      <c r="G328" s="263" t="str">
        <f>vlookup(B328,'Geotagging Master All-Training '!$A$2:$C$2474,3,false)</f>
        <v>#N/A</v>
      </c>
      <c r="H328" s="265" t="s">
        <v>20</v>
      </c>
      <c r="I328" s="266">
        <v>80.0</v>
      </c>
    </row>
    <row r="329" hidden="1">
      <c r="A329" s="258">
        <v>1402.0</v>
      </c>
      <c r="B329" s="259">
        <v>1402.0</v>
      </c>
      <c r="C329" s="260">
        <v>334.0</v>
      </c>
      <c r="D329" s="260">
        <f>IFERROR(__xludf.DUMMYFUNCTION("if(B329&lt;=999,if(B329&lt;=99,IF(B329&lt;=9,join(,""000"",B329),join(,""00"",B329)),join(,""0"",B329)),B329)"),1402.0)</f>
        <v>1402</v>
      </c>
      <c r="E329" s="262" t="s">
        <v>822</v>
      </c>
      <c r="F329" s="263" t="str">
        <f>vlookup(B329,'Geotagging Master All-Training '!$A$2:$C$2474,2,false)</f>
        <v>#N/A</v>
      </c>
      <c r="G329" s="263" t="str">
        <f>vlookup(B329,'Geotagging Master All-Training '!$A$2:$C$2474,3,false)</f>
        <v>#N/A</v>
      </c>
      <c r="H329" s="265" t="s">
        <v>20</v>
      </c>
      <c r="I329" s="266">
        <v>80.0</v>
      </c>
    </row>
    <row r="330" hidden="1">
      <c r="A330" s="272">
        <v>1125.0</v>
      </c>
      <c r="B330" s="272">
        <v>1125.0</v>
      </c>
      <c r="C330" s="260">
        <v>335.0</v>
      </c>
      <c r="D330" s="273">
        <f>IFERROR(__xludf.DUMMYFUNCTION("if(B330&lt;=999,if(B330&lt;=99,IF(B330&lt;=9,join(,""000"",B330),join(,""00"",B330)),join(,""0"",B330)),B330)"),1125.0)</f>
        <v>1125</v>
      </c>
      <c r="E330" s="304" t="s">
        <v>824</v>
      </c>
      <c r="F330" s="263" t="str">
        <f>vlookup(B330,'Geotagging Master All-Training '!$A$2:$C$2474,2,false)</f>
        <v>#N/A</v>
      </c>
      <c r="G330" s="263" t="str">
        <f>vlookup(B330,'Geotagging Master All-Training '!$A$2:$C$2474,3,false)</f>
        <v>#N/A</v>
      </c>
      <c r="H330" s="276" t="s">
        <v>20</v>
      </c>
      <c r="I330" s="277" t="s">
        <v>826</v>
      </c>
    </row>
    <row r="331" hidden="1">
      <c r="A331" s="258">
        <v>681.0</v>
      </c>
      <c r="B331" s="258">
        <v>681.0</v>
      </c>
      <c r="C331" s="260">
        <v>336.0</v>
      </c>
      <c r="D331" s="260" t="str">
        <f>IFERROR(__xludf.DUMMYFUNCTION("if(B331&lt;=999,if(B331&lt;=99,IF(B331&lt;=9,join(,""000"",B331),join(,""00"",B331)),join(,""0"",B331)),B331)"),"0681")</f>
        <v>0681</v>
      </c>
      <c r="E331" s="270" t="s">
        <v>827</v>
      </c>
      <c r="F331" s="263" t="str">
        <f>vlookup(B331,'Geotagging Master All-Training '!$A$2:$C$2474,2,false)</f>
        <v>#N/A</v>
      </c>
      <c r="G331" s="263" t="str">
        <f>vlookup(B331,'Geotagging Master All-Training '!$A$2:$C$2474,3,false)</f>
        <v>#N/A</v>
      </c>
      <c r="H331" s="265" t="s">
        <v>20</v>
      </c>
      <c r="I331" s="266" t="e">
        <v>#N/A</v>
      </c>
    </row>
    <row r="332" hidden="1">
      <c r="A332" s="258">
        <v>80.0</v>
      </c>
      <c r="B332" s="258">
        <v>80.0</v>
      </c>
      <c r="C332" s="260">
        <v>339.0</v>
      </c>
      <c r="D332" s="260" t="str">
        <f>IFERROR(__xludf.DUMMYFUNCTION("if(B332&lt;=999,if(B332&lt;=99,IF(B332&lt;=9,join(,""000"",B332),join(,""00"",B332)),join(,""0"",B332)),B332)"),"0080")</f>
        <v>0080</v>
      </c>
      <c r="E332" s="270" t="s">
        <v>832</v>
      </c>
      <c r="F332" s="263" t="str">
        <f>vlookup(B332,'Geotagging Master All-Training '!$A$2:$C$2474,2,false)</f>
        <v>#N/A</v>
      </c>
      <c r="G332" s="263" t="str">
        <f>vlookup(B332,'Geotagging Master All-Training '!$A$2:$C$2474,3,false)</f>
        <v>#N/A</v>
      </c>
      <c r="H332" s="265" t="s">
        <v>20</v>
      </c>
      <c r="I332" s="266">
        <v>25001.0</v>
      </c>
    </row>
    <row r="333" hidden="1">
      <c r="A333" s="258">
        <v>1108.0</v>
      </c>
      <c r="B333" s="258">
        <v>1108.0</v>
      </c>
      <c r="C333" s="260">
        <v>340.0</v>
      </c>
      <c r="D333" s="260">
        <f>IFERROR(__xludf.DUMMYFUNCTION("if(B333&lt;=999,if(B333&lt;=99,IF(B333&lt;=9,join(,""000"",B333),join(,""00"",B333)),join(,""0"",B333)),B333)"),1108.0)</f>
        <v>1108</v>
      </c>
      <c r="E333" s="270" t="s">
        <v>833</v>
      </c>
      <c r="F333" s="263" t="str">
        <f>vlookup(B333,'Geotagging Master All-Training '!$A$2:$C$2474,2,false)</f>
        <v>#N/A</v>
      </c>
      <c r="G333" s="263" t="str">
        <f>vlookup(B333,'Geotagging Master All-Training '!$A$2:$C$2474,3,false)</f>
        <v>#N/A</v>
      </c>
      <c r="H333" s="265" t="s">
        <v>20</v>
      </c>
      <c r="I333" s="266">
        <v>25001.0</v>
      </c>
    </row>
    <row r="334" hidden="1">
      <c r="A334" s="258">
        <v>236.0</v>
      </c>
      <c r="B334" s="258">
        <v>236.0</v>
      </c>
      <c r="C334" s="260">
        <v>341.0</v>
      </c>
      <c r="D334" s="260" t="str">
        <f>IFERROR(__xludf.DUMMYFUNCTION("if(B334&lt;=999,if(B334&lt;=99,IF(B334&lt;=9,join(,""000"",B334),join(,""00"",B334)),join(,""0"",B334)),B334)"),"0236")</f>
        <v>0236</v>
      </c>
      <c r="E334" s="262" t="s">
        <v>834</v>
      </c>
      <c r="F334" s="263" t="str">
        <f>vlookup(B334,'Geotagging Master All-Training '!$A$2:$C$2474,2,false)</f>
        <v>#N/A</v>
      </c>
      <c r="G334" s="263" t="str">
        <f>vlookup(B334,'Geotagging Master All-Training '!$A$2:$C$2474,3,false)</f>
        <v>#N/A</v>
      </c>
      <c r="H334" s="265" t="s">
        <v>20</v>
      </c>
      <c r="I334" s="266" t="e">
        <v>#N/A</v>
      </c>
    </row>
    <row r="335" hidden="1">
      <c r="A335" s="258">
        <v>220.0</v>
      </c>
      <c r="B335" s="259">
        <v>220.0</v>
      </c>
      <c r="C335" s="260">
        <v>342.0</v>
      </c>
      <c r="D335" s="260" t="str">
        <f>IFERROR(__xludf.DUMMYFUNCTION("if(B335&lt;=999,if(B335&lt;=99,IF(B335&lt;=9,join(,""000"",B335),join(,""00"",B335)),join(,""0"",B335)),B335)"),"0220")</f>
        <v>0220</v>
      </c>
      <c r="E335" s="262" t="s">
        <v>838</v>
      </c>
      <c r="F335" s="263" t="str">
        <f>vlookup(B335,'Geotagging Master All-Training '!$A$2:$C$2474,2,false)</f>
        <v>#N/A</v>
      </c>
      <c r="G335" s="263" t="str">
        <f>vlookup(B335,'Geotagging Master All-Training '!$A$2:$C$2474,3,false)</f>
        <v>#N/A</v>
      </c>
      <c r="H335" s="265" t="s">
        <v>20</v>
      </c>
      <c r="I335" s="266">
        <v>25001.0</v>
      </c>
    </row>
    <row r="336" hidden="1">
      <c r="A336" s="258">
        <v>120.0</v>
      </c>
      <c r="B336" s="258">
        <v>120.0</v>
      </c>
      <c r="C336" s="260">
        <v>343.0</v>
      </c>
      <c r="D336" s="260" t="str">
        <f>IFERROR(__xludf.DUMMYFUNCTION("if(B336&lt;=999,if(B336&lt;=99,IF(B336&lt;=9,join(,""000"",B336),join(,""00"",B336)),join(,""0"",B336)),B336)"),"0120")</f>
        <v>0120</v>
      </c>
      <c r="E336" s="270" t="s">
        <v>839</v>
      </c>
      <c r="F336" s="263" t="str">
        <f>vlookup(B336,'Geotagging Master All-Training '!$A$2:$C$2474,2,false)</f>
        <v>#N/A</v>
      </c>
      <c r="G336" s="263" t="str">
        <f>vlookup(B336,'Geotagging Master All-Training '!$A$2:$C$2474,3,false)</f>
        <v>#N/A</v>
      </c>
      <c r="H336" s="265" t="s">
        <v>20</v>
      </c>
      <c r="I336" s="266">
        <v>80.0</v>
      </c>
    </row>
    <row r="337" hidden="1">
      <c r="A337" s="258">
        <v>1118.0</v>
      </c>
      <c r="B337" s="258">
        <v>1118.0</v>
      </c>
      <c r="C337" s="260">
        <v>344.0</v>
      </c>
      <c r="D337" s="260">
        <f>IFERROR(__xludf.DUMMYFUNCTION("if(B337&lt;=999,if(B337&lt;=99,IF(B337&lt;=9,join(,""000"",B337),join(,""00"",B337)),join(,""0"",B337)),B337)"),1118.0)</f>
        <v>1118</v>
      </c>
      <c r="E337" s="262" t="s">
        <v>840</v>
      </c>
      <c r="F337" s="263" t="str">
        <f>vlookup(B337,'Geotagging Master All-Training '!$A$2:$C$2474,2,false)</f>
        <v>#N/A</v>
      </c>
      <c r="G337" s="263" t="str">
        <f>vlookup(B337,'Geotagging Master All-Training '!$A$2:$C$2474,3,false)</f>
        <v>#N/A</v>
      </c>
      <c r="H337" s="265" t="s">
        <v>20</v>
      </c>
      <c r="I337" s="266" t="e">
        <v>#N/A</v>
      </c>
    </row>
    <row r="338" hidden="1">
      <c r="A338" s="272">
        <v>213.0</v>
      </c>
      <c r="B338" s="272">
        <v>213.0</v>
      </c>
      <c r="C338" s="260">
        <v>345.0</v>
      </c>
      <c r="D338" s="273" t="str">
        <f>IFERROR(__xludf.DUMMYFUNCTION("if(B338&lt;=999,if(B338&lt;=99,IF(B338&lt;=9,join(,""000"",B338),join(,""00"",B338)),join(,""0"",B338)),B338)"),"0213")</f>
        <v>0213</v>
      </c>
      <c r="E338" s="274" t="s">
        <v>844</v>
      </c>
      <c r="F338" s="263" t="str">
        <f>vlookup(B338,'Geotagging Master All-Training '!$A$2:$C$2474,2,false)</f>
        <v>#N/A</v>
      </c>
      <c r="G338" s="263" t="str">
        <f>vlookup(B338,'Geotagging Master All-Training '!$A$2:$C$2474,3,false)</f>
        <v>#N/A</v>
      </c>
      <c r="H338" s="276" t="s">
        <v>20</v>
      </c>
      <c r="I338" s="277">
        <v>37777.0</v>
      </c>
    </row>
    <row r="339" hidden="1">
      <c r="A339" s="258">
        <v>112.0</v>
      </c>
      <c r="B339" s="259">
        <v>112.0</v>
      </c>
      <c r="C339" s="260">
        <v>346.0</v>
      </c>
      <c r="D339" s="260" t="str">
        <f>IFERROR(__xludf.DUMMYFUNCTION("if(B339&lt;=999,if(B339&lt;=99,IF(B339&lt;=9,join(,""000"",B339),join(,""00"",B339)),join(,""0"",B339)),B339)"),"0112")</f>
        <v>0112</v>
      </c>
      <c r="E339" s="270" t="s">
        <v>846</v>
      </c>
      <c r="F339" s="263" t="str">
        <f>vlookup(B339,'Geotagging Master All-Training '!$A$2:$C$2474,2,false)</f>
        <v>#N/A</v>
      </c>
      <c r="G339" s="263" t="str">
        <f>vlookup(B339,'Geotagging Master All-Training '!$A$2:$C$2474,3,false)</f>
        <v>#N/A</v>
      </c>
      <c r="H339" s="265" t="s">
        <v>20</v>
      </c>
      <c r="I339" s="266"/>
    </row>
    <row r="340" hidden="1">
      <c r="A340" s="272">
        <v>740.0</v>
      </c>
      <c r="B340" s="272">
        <v>740.0</v>
      </c>
      <c r="C340" s="273">
        <v>348.0</v>
      </c>
      <c r="D340" s="273" t="str">
        <f>IFERROR(__xludf.DUMMYFUNCTION("if(B340&lt;=999,if(B340&lt;=99,IF(B340&lt;=9,join(,""000"",B340),join(,""00"",B340)),join(,""0"",B340)),B340)"),"0740")</f>
        <v>0740</v>
      </c>
      <c r="E340" s="304" t="s">
        <v>848</v>
      </c>
      <c r="F340" s="303" t="str">
        <f>vlookup(B340,'Geotagging Master All-Training '!$A$2:$C$2474,2,false)</f>
        <v>#N/A</v>
      </c>
      <c r="G340" s="303" t="str">
        <f>vlookup(B340,'Geotagging Master All-Training '!$A$2:$C$2474,3,false)</f>
        <v>#N/A</v>
      </c>
      <c r="H340" s="276" t="s">
        <v>20</v>
      </c>
      <c r="I340" s="277" t="e">
        <v>#N/A</v>
      </c>
    </row>
    <row r="341" hidden="1">
      <c r="A341" s="272">
        <v>358.0</v>
      </c>
      <c r="B341" s="272">
        <v>358.0</v>
      </c>
      <c r="C341" s="273">
        <v>356.0</v>
      </c>
      <c r="D341" s="273" t="str">
        <f>IFERROR(__xludf.DUMMYFUNCTION("if(B341&lt;=999,if(B341&lt;=99,IF(B341&lt;=9,join(,""000"",B341),join(,""00"",B341)),join(,""0"",B341)),B341)"),"0358")</f>
        <v>0358</v>
      </c>
      <c r="E341" s="304" t="s">
        <v>860</v>
      </c>
      <c r="F341" s="303" t="str">
        <f>vlookup(B341,'Geotagging Master All-Training '!$A$2:$C$2474,2,false)</f>
        <v>#N/A</v>
      </c>
      <c r="G341" s="303" t="str">
        <f>vlookup(B341,'Geotagging Master All-Training '!$A$2:$C$2474,3,false)</f>
        <v>#N/A</v>
      </c>
      <c r="H341" s="276" t="s">
        <v>20</v>
      </c>
      <c r="I341" s="277" t="e">
        <v>#N/A</v>
      </c>
    </row>
    <row r="342" hidden="1">
      <c r="A342" s="258">
        <v>950.0</v>
      </c>
      <c r="B342" s="258">
        <v>950.0</v>
      </c>
      <c r="C342" s="260">
        <v>349.0</v>
      </c>
      <c r="D342" s="260" t="str">
        <f>IFERROR(__xludf.DUMMYFUNCTION("if(B342&lt;=999,if(B342&lt;=99,IF(B342&lt;=9,join(,""000"",B342),join(,""00"",B342)),join(,""0"",B342)),B342)"),"0950")</f>
        <v>0950</v>
      </c>
      <c r="E342" s="262" t="s">
        <v>849</v>
      </c>
      <c r="F342" s="263" t="str">
        <f>vlookup(B342,'Geotagging Master All-Training '!$A$2:$C$2474,2,false)</f>
        <v>#N/A</v>
      </c>
      <c r="G342" s="263" t="str">
        <f>vlookup(B342,'Geotagging Master All-Training '!$A$2:$C$2474,3,false)</f>
        <v>#N/A</v>
      </c>
      <c r="H342" s="265" t="s">
        <v>20</v>
      </c>
      <c r="I342" s="266">
        <v>8080.0</v>
      </c>
    </row>
    <row r="343" hidden="1">
      <c r="A343" s="258">
        <v>1244.0</v>
      </c>
      <c r="B343" s="259">
        <v>1244.0</v>
      </c>
      <c r="C343" s="260">
        <v>350.0</v>
      </c>
      <c r="D343" s="260">
        <f>IFERROR(__xludf.DUMMYFUNCTION("if(B343&lt;=999,if(B343&lt;=99,IF(B343&lt;=9,join(,""000"",B343),join(,""00"",B343)),join(,""0"",B343)),B343)"),1244.0)</f>
        <v>1244</v>
      </c>
      <c r="E343" s="262" t="s">
        <v>851</v>
      </c>
      <c r="F343" s="263" t="str">
        <f>vlookup(B343,'Geotagging Master All-Training '!$A$2:$C$2474,2,false)</f>
        <v>#N/A</v>
      </c>
      <c r="G343" s="263" t="str">
        <f>vlookup(B343,'Geotagging Master All-Training '!$A$2:$C$2474,3,false)</f>
        <v>#N/A</v>
      </c>
      <c r="H343" s="265" t="s">
        <v>20</v>
      </c>
      <c r="I343" s="266" t="e">
        <v>#N/A</v>
      </c>
    </row>
    <row r="344" hidden="1">
      <c r="A344" s="258">
        <v>815.0</v>
      </c>
      <c r="B344" s="258">
        <v>815.0</v>
      </c>
      <c r="C344" s="260">
        <v>351.0</v>
      </c>
      <c r="D344" s="260" t="str">
        <f>IFERROR(__xludf.DUMMYFUNCTION("if(B344&lt;=999,if(B344&lt;=99,IF(B344&lt;=9,join(,""000"",B344),join(,""00"",B344)),join(,""0"",B344)),B344)"),"0815")</f>
        <v>0815</v>
      </c>
      <c r="E344" s="270" t="s">
        <v>801</v>
      </c>
      <c r="F344" s="263" t="str">
        <f>vlookup(B344,'Geotagging Master All-Training '!$A$2:$C$2474,2,false)</f>
        <v>#N/A</v>
      </c>
      <c r="G344" s="263" t="str">
        <f>vlookup(B344,'Geotagging Master All-Training '!$A$2:$C$2474,3,false)</f>
        <v>#N/A</v>
      </c>
      <c r="H344" s="265" t="s">
        <v>20</v>
      </c>
      <c r="I344" s="266">
        <v>37777.0</v>
      </c>
    </row>
    <row r="345" hidden="1">
      <c r="A345" s="258">
        <v>37.0</v>
      </c>
      <c r="B345" s="259">
        <v>37.0</v>
      </c>
      <c r="C345" s="260">
        <v>352.0</v>
      </c>
      <c r="D345" s="260" t="str">
        <f>IFERROR(__xludf.DUMMYFUNCTION("if(B345&lt;=999,if(B345&lt;=99,IF(B345&lt;=9,join(,""000"",B345),join(,""00"",B345)),join(,""0"",B345)),B345)"),"0037")</f>
        <v>0037</v>
      </c>
      <c r="E345" s="262" t="s">
        <v>853</v>
      </c>
      <c r="F345" s="263" t="str">
        <f>vlookup(B345,'Geotagging Master All-Training '!$A$2:$C$2474,2,false)</f>
        <v>#N/A</v>
      </c>
      <c r="G345" s="263" t="str">
        <f>vlookup(B345,'Geotagging Master All-Training '!$A$2:$C$2474,3,false)</f>
        <v>#N/A</v>
      </c>
      <c r="H345" s="265" t="s">
        <v>20</v>
      </c>
      <c r="I345" s="266" t="e">
        <v>#N/A</v>
      </c>
    </row>
    <row r="346" hidden="1">
      <c r="A346" s="258">
        <v>723.0</v>
      </c>
      <c r="B346" s="258">
        <v>723.0</v>
      </c>
      <c r="C346" s="260">
        <v>353.0</v>
      </c>
      <c r="D346" s="260" t="str">
        <f>IFERROR(__xludf.DUMMYFUNCTION("if(B346&lt;=999,if(B346&lt;=99,IF(B346&lt;=9,join(,""000"",B346),join(,""00"",B346)),join(,""0"",B346)),B346)"),"0723")</f>
        <v>0723</v>
      </c>
      <c r="E346" s="262" t="s">
        <v>856</v>
      </c>
      <c r="F346" s="263" t="str">
        <f>vlookup(B346,'Geotagging Master All-Training '!$A$2:$C$2474,2,false)</f>
        <v>#N/A</v>
      </c>
      <c r="G346" s="263" t="str">
        <f>vlookup(B346,'Geotagging Master All-Training '!$A$2:$C$2474,3,false)</f>
        <v>#N/A</v>
      </c>
      <c r="H346" s="265" t="s">
        <v>20</v>
      </c>
      <c r="I346" s="266" t="e">
        <v>#N/A</v>
      </c>
    </row>
    <row r="347" hidden="1">
      <c r="A347" s="258">
        <v>1086.0</v>
      </c>
      <c r="B347" s="258">
        <v>1086.0</v>
      </c>
      <c r="C347" s="260">
        <v>354.0</v>
      </c>
      <c r="D347" s="260">
        <f>IFERROR(__xludf.DUMMYFUNCTION("if(B347&lt;=999,if(B347&lt;=99,IF(B347&lt;=9,join(,""000"",B347),join(,""00"",B347)),join(,""0"",B347)),B347)"),1086.0)</f>
        <v>1086</v>
      </c>
      <c r="E347" s="270" t="s">
        <v>857</v>
      </c>
      <c r="F347" s="263" t="str">
        <f>vlookup(B347,'Geotagging Master All-Training '!$A$2:$C$2474,2,false)</f>
        <v>#N/A</v>
      </c>
      <c r="G347" s="263" t="str">
        <f>vlookup(B347,'Geotagging Master All-Training '!$A$2:$C$2474,3,false)</f>
        <v>#N/A</v>
      </c>
      <c r="H347" s="265" t="s">
        <v>20</v>
      </c>
      <c r="I347" s="266"/>
    </row>
    <row r="348" hidden="1">
      <c r="A348" s="258">
        <v>71.0</v>
      </c>
      <c r="B348" s="258">
        <v>71.0</v>
      </c>
      <c r="C348" s="260">
        <v>355.0</v>
      </c>
      <c r="D348" s="260" t="str">
        <f>IFERROR(__xludf.DUMMYFUNCTION("if(B348&lt;=999,if(B348&lt;=99,IF(B348&lt;=9,join(,""000"",B348),join(,""00"",B348)),join(,""0"",B348)),B348)"),"0071")</f>
        <v>0071</v>
      </c>
      <c r="E348" s="270" t="s">
        <v>859</v>
      </c>
      <c r="F348" s="263" t="str">
        <f>vlookup(B348,'Geotagging Master All-Training '!$A$2:$C$2474,2,false)</f>
        <v>#N/A</v>
      </c>
      <c r="G348" s="263" t="str">
        <f>vlookup(B348,'Geotagging Master All-Training '!$A$2:$C$2474,3,false)</f>
        <v>#N/A</v>
      </c>
      <c r="H348" s="265" t="s">
        <v>20</v>
      </c>
      <c r="I348" s="266"/>
    </row>
    <row r="349" hidden="1">
      <c r="A349" s="272">
        <v>1363.0</v>
      </c>
      <c r="B349" s="272">
        <v>1363.0</v>
      </c>
      <c r="C349" s="273">
        <v>368.0</v>
      </c>
      <c r="D349" s="273">
        <f>IFERROR(__xludf.DUMMYFUNCTION("if(B349&lt;=999,if(B349&lt;=99,IF(B349&lt;=9,join(,""000"",B349),join(,""00"",B349)),join(,""0"",B349)),B349)"),1363.0)</f>
        <v>1363</v>
      </c>
      <c r="E349" s="304" t="s">
        <v>885</v>
      </c>
      <c r="F349" s="303" t="str">
        <f>vlookup(B349,'Geotagging Master All-Training '!$A$2:$C$2474,2,false)</f>
        <v>#N/A</v>
      </c>
      <c r="G349" s="303" t="str">
        <f>vlookup(B349,'Geotagging Master All-Training '!$A$2:$C$2474,3,false)</f>
        <v>#N/A</v>
      </c>
      <c r="H349" s="276" t="s">
        <v>20</v>
      </c>
      <c r="I349" s="277" t="e">
        <v>#N/A</v>
      </c>
    </row>
    <row r="350" hidden="1">
      <c r="A350" s="258">
        <v>1240.0</v>
      </c>
      <c r="B350" s="258">
        <v>1240.0</v>
      </c>
      <c r="C350" s="260">
        <v>357.0</v>
      </c>
      <c r="D350" s="260">
        <f>IFERROR(__xludf.DUMMYFUNCTION("if(B350&lt;=999,if(B350&lt;=99,IF(B350&lt;=9,join(,""000"",B350),join(,""00"",B350)),join(,""0"",B350)),B350)"),1240.0)</f>
        <v>1240</v>
      </c>
      <c r="E350" s="270" t="s">
        <v>861</v>
      </c>
      <c r="F350" s="263" t="str">
        <f>vlookup(B350,'Geotagging Master All-Training '!$A$2:$C$2474,2,false)</f>
        <v>#N/A</v>
      </c>
      <c r="G350" s="263" t="str">
        <f>vlookup(B350,'Geotagging Master All-Training '!$A$2:$C$2474,3,false)</f>
        <v>#N/A</v>
      </c>
      <c r="H350" s="265" t="s">
        <v>20</v>
      </c>
      <c r="I350" s="266">
        <v>8008.0</v>
      </c>
    </row>
    <row r="351" hidden="1">
      <c r="A351" s="258">
        <v>1446.0</v>
      </c>
      <c r="B351" s="258">
        <v>1446.0</v>
      </c>
      <c r="C351" s="260">
        <v>358.0</v>
      </c>
      <c r="D351" s="260">
        <f>IFERROR(__xludf.DUMMYFUNCTION("if(B351&lt;=999,if(B351&lt;=99,IF(B351&lt;=9,join(,""000"",B351),join(,""00"",B351)),join(,""0"",B351)),B351)"),1446.0)</f>
        <v>1446</v>
      </c>
      <c r="E351" s="270" t="s">
        <v>865</v>
      </c>
      <c r="F351" s="263" t="str">
        <f>vlookup(B351,'Geotagging Master All-Training '!$A$2:$C$2474,2,false)</f>
        <v>#N/A</v>
      </c>
      <c r="G351" s="263" t="str">
        <f>vlookup(B351,'Geotagging Master All-Training '!$A$2:$C$2474,3,false)</f>
        <v>#N/A</v>
      </c>
      <c r="H351" s="265" t="s">
        <v>20</v>
      </c>
      <c r="I351" s="266">
        <v>8008.0</v>
      </c>
    </row>
    <row r="352" hidden="1">
      <c r="A352" s="258">
        <v>1146.0</v>
      </c>
      <c r="B352" s="258">
        <v>1146.0</v>
      </c>
      <c r="C352" s="260">
        <v>359.0</v>
      </c>
      <c r="D352" s="260">
        <f>IFERROR(__xludf.DUMMYFUNCTION("if(B352&lt;=999,if(B352&lt;=99,IF(B352&lt;=9,join(,""000"",B352),join(,""00"",B352)),join(,""0"",B352)),B352)"),1146.0)</f>
        <v>1146</v>
      </c>
      <c r="E352" s="270" t="s">
        <v>866</v>
      </c>
      <c r="F352" s="263" t="str">
        <f>vlookup(B352,'Geotagging Master All-Training '!$A$2:$C$2474,2,false)</f>
        <v>#N/A</v>
      </c>
      <c r="G352" s="263" t="str">
        <f>vlookup(B352,'Geotagging Master All-Training '!$A$2:$C$2474,3,false)</f>
        <v>#N/A</v>
      </c>
      <c r="H352" s="265" t="s">
        <v>20</v>
      </c>
      <c r="I352" s="266">
        <v>8008.0</v>
      </c>
    </row>
    <row r="353" hidden="1">
      <c r="A353" s="258">
        <v>60.0</v>
      </c>
      <c r="B353" s="258">
        <v>60.0</v>
      </c>
      <c r="C353" s="260">
        <v>360.0</v>
      </c>
      <c r="D353" s="260" t="str">
        <f>IFERROR(__xludf.DUMMYFUNCTION("if(B353&lt;=999,if(B353&lt;=99,IF(B353&lt;=9,join(,""000"",B353),join(,""00"",B353)),join(,""0"",B353)),B353)"),"0060")</f>
        <v>0060</v>
      </c>
      <c r="E353" s="270" t="s">
        <v>867</v>
      </c>
      <c r="F353" s="263" t="str">
        <f>vlookup(B353,'Geotagging Master All-Training '!$A$2:$C$2474,2,false)</f>
        <v>#N/A</v>
      </c>
      <c r="G353" s="263" t="str">
        <f>vlookup(B353,'Geotagging Master All-Training '!$A$2:$C$2474,3,false)</f>
        <v>#N/A</v>
      </c>
      <c r="H353" s="265" t="s">
        <v>20</v>
      </c>
      <c r="I353" s="266">
        <v>1080.0</v>
      </c>
    </row>
    <row r="354" hidden="1">
      <c r="A354" s="272">
        <v>1346.0</v>
      </c>
      <c r="B354" s="272">
        <v>1346.0</v>
      </c>
      <c r="C354" s="260">
        <v>361.0</v>
      </c>
      <c r="D354" s="273">
        <f>IFERROR(__xludf.DUMMYFUNCTION("if(B354&lt;=999,if(B354&lt;=99,IF(B354&lt;=9,join(,""000"",B354),join(,""00"",B354)),join(,""0"",B354)),B354)"),1346.0)</f>
        <v>1346</v>
      </c>
      <c r="E354" s="274" t="s">
        <v>868</v>
      </c>
      <c r="F354" s="263" t="str">
        <f>vlookup(B354,'Geotagging Master All-Training '!$A$2:$C$2474,2,false)</f>
        <v>#N/A</v>
      </c>
      <c r="G354" s="263" t="str">
        <f>vlookup(B354,'Geotagging Master All-Training '!$A$2:$C$2474,3,false)</f>
        <v>#N/A</v>
      </c>
      <c r="H354" s="276" t="s">
        <v>20</v>
      </c>
      <c r="I354" s="277">
        <v>8000.0</v>
      </c>
    </row>
    <row r="355" hidden="1">
      <c r="A355" s="258">
        <v>831.0</v>
      </c>
      <c r="B355" s="258">
        <v>831.0</v>
      </c>
      <c r="C355" s="260">
        <v>362.0</v>
      </c>
      <c r="D355" s="260" t="str">
        <f>IFERROR(__xludf.DUMMYFUNCTION("if(B355&lt;=999,if(B355&lt;=99,IF(B355&lt;=9,join(,""000"",B355),join(,""00"",B355)),join(,""0"",B355)),B355)"),"0831")</f>
        <v>0831</v>
      </c>
      <c r="E355" s="270" t="s">
        <v>872</v>
      </c>
      <c r="F355" s="263" t="str">
        <f>vlookup(B355,'Geotagging Master All-Training '!$A$2:$C$2474,2,false)</f>
        <v>#N/A</v>
      </c>
      <c r="G355" s="263" t="str">
        <f>vlookup(B355,'Geotagging Master All-Training '!$A$2:$C$2474,3,false)</f>
        <v>#N/A</v>
      </c>
      <c r="H355" s="265" t="s">
        <v>20</v>
      </c>
      <c r="I355" s="266">
        <v>36666.0</v>
      </c>
    </row>
    <row r="356" hidden="1">
      <c r="A356" s="258">
        <v>25.0</v>
      </c>
      <c r="B356" s="258">
        <v>25.0</v>
      </c>
      <c r="C356" s="260">
        <v>363.0</v>
      </c>
      <c r="D356" s="260" t="str">
        <f>IFERROR(__xludf.DUMMYFUNCTION("if(B356&lt;=999,if(B356&lt;=99,IF(B356&lt;=9,join(,""000"",B356),join(,""00"",B356)),join(,""0"",B356)),B356)"),"0025")</f>
        <v>0025</v>
      </c>
      <c r="E356" s="262" t="s">
        <v>875</v>
      </c>
      <c r="F356" s="263" t="str">
        <f>vlookup(B356,'Geotagging Master All-Training '!$A$2:$C$2474,2,false)</f>
        <v>#N/A</v>
      </c>
      <c r="G356" s="263" t="str">
        <f>vlookup(B356,'Geotagging Master All-Training '!$A$2:$C$2474,3,false)</f>
        <v>#N/A</v>
      </c>
      <c r="H356" s="265" t="s">
        <v>20</v>
      </c>
      <c r="I356" s="266">
        <v>80.0</v>
      </c>
    </row>
    <row r="357" hidden="1">
      <c r="A357" s="258">
        <v>1375.0</v>
      </c>
      <c r="B357" s="258">
        <v>1375.0</v>
      </c>
      <c r="C357" s="260">
        <v>364.0</v>
      </c>
      <c r="D357" s="260">
        <f>IFERROR(__xludf.DUMMYFUNCTION("if(B357&lt;=999,if(B357&lt;=99,IF(B357&lt;=9,join(,""000"",B357),join(,""00"",B357)),join(,""0"",B357)),B357)"),1375.0)</f>
        <v>1375</v>
      </c>
      <c r="E357" s="262" t="s">
        <v>877</v>
      </c>
      <c r="F357" s="263" t="str">
        <f>vlookup(B357,'Geotagging Master All-Training '!$A$2:$C$2474,2,false)</f>
        <v>#N/A</v>
      </c>
      <c r="G357" s="263" t="str">
        <f>vlookup(B357,'Geotagging Master All-Training '!$A$2:$C$2474,3,false)</f>
        <v>#N/A</v>
      </c>
      <c r="H357" s="265" t="s">
        <v>20</v>
      </c>
      <c r="I357" s="266">
        <v>80.0</v>
      </c>
    </row>
    <row r="358" hidden="1">
      <c r="A358" s="258">
        <v>1128.0</v>
      </c>
      <c r="B358" s="258">
        <v>1128.0</v>
      </c>
      <c r="C358" s="260">
        <v>365.0</v>
      </c>
      <c r="D358" s="260">
        <f>IFERROR(__xludf.DUMMYFUNCTION("if(B358&lt;=999,if(B358&lt;=99,IF(B358&lt;=9,join(,""000"",B358),join(,""00"",B358)),join(,""0"",B358)),B358)"),1128.0)</f>
        <v>1128</v>
      </c>
      <c r="E358" s="270" t="s">
        <v>879</v>
      </c>
      <c r="F358" s="263" t="str">
        <f>vlookup(B358,'Geotagging Master All-Training '!$A$2:$C$2474,2,false)</f>
        <v>#N/A</v>
      </c>
      <c r="G358" s="263" t="str">
        <f>vlookup(B358,'Geotagging Master All-Training '!$A$2:$C$2474,3,false)</f>
        <v>#N/A</v>
      </c>
      <c r="H358" s="265" t="s">
        <v>20</v>
      </c>
      <c r="I358" s="266"/>
    </row>
    <row r="359" hidden="1">
      <c r="A359" s="258">
        <v>631.0</v>
      </c>
      <c r="B359" s="259">
        <v>631.0</v>
      </c>
      <c r="C359" s="260">
        <v>366.0</v>
      </c>
      <c r="D359" s="260" t="str">
        <f>IFERROR(__xludf.DUMMYFUNCTION("if(B359&lt;=999,if(B359&lt;=99,IF(B359&lt;=9,join(,""000"",B359),join(,""00"",B359)),join(,""0"",B359)),B359)"),"0631")</f>
        <v>0631</v>
      </c>
      <c r="E359" s="262" t="s">
        <v>881</v>
      </c>
      <c r="F359" s="263" t="str">
        <f>vlookup(B359,'Geotagging Master All-Training '!$A$2:$C$2474,2,false)</f>
        <v>#N/A</v>
      </c>
      <c r="G359" s="263" t="str">
        <f>vlookup(B359,'Geotagging Master All-Training '!$A$2:$C$2474,3,false)</f>
        <v>#N/A</v>
      </c>
      <c r="H359" s="265" t="s">
        <v>20</v>
      </c>
      <c r="I359" s="266"/>
    </row>
    <row r="360" hidden="1">
      <c r="A360" s="258">
        <v>1463.0</v>
      </c>
      <c r="B360" s="258">
        <v>1463.0</v>
      </c>
      <c r="C360" s="260">
        <v>367.0</v>
      </c>
      <c r="D360" s="260">
        <f>IFERROR(__xludf.DUMMYFUNCTION("if(B360&lt;=999,if(B360&lt;=99,IF(B360&lt;=9,join(,""000"",B360),join(,""00"",B360)),join(,""0"",B360)),B360)"),1463.0)</f>
        <v>1463</v>
      </c>
      <c r="E360" s="262" t="s">
        <v>882</v>
      </c>
      <c r="F360" s="263" t="str">
        <f>vlookup(B360,'Geotagging Master All-Training '!$A$2:$C$2474,2,false)</f>
        <v>#N/A</v>
      </c>
      <c r="G360" s="263" t="str">
        <f>vlookup(B360,'Geotagging Master All-Training '!$A$2:$C$2474,3,false)</f>
        <v>#N/A</v>
      </c>
      <c r="H360" s="265" t="s">
        <v>20</v>
      </c>
      <c r="I360" s="266">
        <v>80554.0</v>
      </c>
    </row>
    <row r="361" hidden="1">
      <c r="A361" s="258">
        <v>1029.0</v>
      </c>
      <c r="B361" s="258">
        <v>1029.0</v>
      </c>
      <c r="C361" s="260">
        <v>369.0</v>
      </c>
      <c r="D361" s="260">
        <f>IFERROR(__xludf.DUMMYFUNCTION("if(B361&lt;=999,if(B361&lt;=99,IF(B361&lt;=9,join(,""000"",B361),join(,""00"",B361)),join(,""0"",B361)),B361)"),1029.0)</f>
        <v>1029</v>
      </c>
      <c r="E361" s="262" t="s">
        <v>886</v>
      </c>
      <c r="F361" s="263" t="str">
        <f>vlookup(B361,'Geotagging Master All-Training '!$A$2:$C$2474,2,false)</f>
        <v>#N/A</v>
      </c>
      <c r="G361" s="263" t="str">
        <f>vlookup(B361,'Geotagging Master All-Training '!$A$2:$C$2474,3,false)</f>
        <v>#N/A</v>
      </c>
      <c r="H361" s="265" t="s">
        <v>20</v>
      </c>
      <c r="I361" s="266">
        <v>80.0</v>
      </c>
    </row>
    <row r="362" hidden="1">
      <c r="A362" s="258">
        <v>1350.0</v>
      </c>
      <c r="B362" s="258">
        <v>1350.0</v>
      </c>
      <c r="C362" s="260">
        <v>370.0</v>
      </c>
      <c r="D362" s="260">
        <f>IFERROR(__xludf.DUMMYFUNCTION("if(B362&lt;=999,if(B362&lt;=99,IF(B362&lt;=9,join(,""000"",B362),join(,""00"",B362)),join(,""0"",B362)),B362)"),1350.0)</f>
        <v>1350</v>
      </c>
      <c r="E362" s="270" t="s">
        <v>889</v>
      </c>
      <c r="F362" s="263" t="str">
        <f>vlookup(B362,'Geotagging Master All-Training '!$A$2:$C$2474,2,false)</f>
        <v>#N/A</v>
      </c>
      <c r="G362" s="263" t="str">
        <f>vlookup(B362,'Geotagging Master All-Training '!$A$2:$C$2474,3,false)</f>
        <v>#N/A</v>
      </c>
      <c r="H362" s="265" t="s">
        <v>20</v>
      </c>
      <c r="I362" s="266">
        <v>32.0</v>
      </c>
    </row>
    <row r="363" hidden="1">
      <c r="A363" s="272">
        <v>1093.0</v>
      </c>
      <c r="B363" s="272">
        <v>1093.0</v>
      </c>
      <c r="C363" s="260">
        <v>371.0</v>
      </c>
      <c r="D363" s="273">
        <f>IFERROR(__xludf.DUMMYFUNCTION("if(B363&lt;=999,if(B363&lt;=99,IF(B363&lt;=9,join(,""000"",B363),join(,""00"",B363)),join(,""0"",B363)),B363)"),1093.0)</f>
        <v>1093</v>
      </c>
      <c r="E363" s="274" t="s">
        <v>890</v>
      </c>
      <c r="F363" s="263" t="str">
        <f>vlookup(B363,'Geotagging Master All-Training '!$A$2:$C$2474,2,false)</f>
        <v>#N/A</v>
      </c>
      <c r="G363" s="263" t="str">
        <f>vlookup(B363,'Geotagging Master All-Training '!$A$2:$C$2474,3,false)</f>
        <v>#N/A</v>
      </c>
      <c r="H363" s="276" t="s">
        <v>20</v>
      </c>
      <c r="I363" s="277">
        <v>16.0</v>
      </c>
    </row>
    <row r="364" hidden="1">
      <c r="A364" s="258">
        <v>1222.0</v>
      </c>
      <c r="B364" s="258">
        <v>1222.0</v>
      </c>
      <c r="C364" s="260">
        <v>372.0</v>
      </c>
      <c r="D364" s="260">
        <f>IFERROR(__xludf.DUMMYFUNCTION("if(B364&lt;=999,if(B364&lt;=99,IF(B364&lt;=9,join(,""000"",B364),join(,""00"",B364)),join(,""0"",B364)),B364)"),1222.0)</f>
        <v>1222</v>
      </c>
      <c r="E364" s="262" t="s">
        <v>894</v>
      </c>
      <c r="F364" s="263" t="str">
        <f>vlookup(B364,'Geotagging Master All-Training '!$A$2:$C$2474,2,false)</f>
        <v>#N/A</v>
      </c>
      <c r="G364" s="263" t="str">
        <f>vlookup(B364,'Geotagging Master All-Training '!$A$2:$C$2474,3,false)</f>
        <v>#N/A</v>
      </c>
      <c r="H364" s="265" t="s">
        <v>20</v>
      </c>
      <c r="I364" s="266">
        <v>25001.0</v>
      </c>
    </row>
    <row r="365" hidden="1">
      <c r="A365" s="258">
        <v>1023.0</v>
      </c>
      <c r="B365" s="258">
        <v>1023.0</v>
      </c>
      <c r="C365" s="260">
        <v>373.0</v>
      </c>
      <c r="D365" s="260">
        <f>IFERROR(__xludf.DUMMYFUNCTION("if(B365&lt;=999,if(B365&lt;=99,IF(B365&lt;=9,join(,""000"",B365),join(,""00"",B365)),join(,""0"",B365)),B365)"),1023.0)</f>
        <v>1023</v>
      </c>
      <c r="E365" s="262" t="s">
        <v>896</v>
      </c>
      <c r="F365" s="263" t="str">
        <f>vlookup(B365,'Geotagging Master All-Training '!$A$2:$C$2474,2,false)</f>
        <v>#N/A</v>
      </c>
      <c r="G365" s="263" t="str">
        <f>vlookup(B365,'Geotagging Master All-Training '!$A$2:$C$2474,3,false)</f>
        <v>#N/A</v>
      </c>
      <c r="H365" s="265" t="s">
        <v>20</v>
      </c>
      <c r="I365" s="266">
        <v>25001.0</v>
      </c>
    </row>
    <row r="366" hidden="1">
      <c r="A366" s="258">
        <v>1222.0</v>
      </c>
      <c r="B366" s="258">
        <v>1222.0</v>
      </c>
      <c r="C366" s="260">
        <v>374.0</v>
      </c>
      <c r="D366" s="260">
        <v>1222.0</v>
      </c>
      <c r="E366" s="262" t="s">
        <v>896</v>
      </c>
      <c r="F366" s="263" t="str">
        <f>vlookup(B366,'Geotagging Master All-Training '!$A$2:$C$2474,2,false)</f>
        <v>#N/A</v>
      </c>
      <c r="G366" s="263" t="str">
        <f>vlookup(B366,'Geotagging Master All-Training '!$A$2:$C$2474,3,false)</f>
        <v>#N/A</v>
      </c>
      <c r="H366" s="265" t="s">
        <v>20</v>
      </c>
      <c r="I366" s="266">
        <v>25001.0</v>
      </c>
    </row>
    <row r="367" hidden="1">
      <c r="A367" s="258">
        <v>1421.0</v>
      </c>
      <c r="B367" s="258">
        <v>1421.0</v>
      </c>
      <c r="C367" s="260">
        <v>375.0</v>
      </c>
      <c r="D367" s="260">
        <f>IFERROR(__xludf.DUMMYFUNCTION("if(B367&lt;=999,if(B367&lt;=99,IF(B367&lt;=9,join(,""000"",B367),join(,""00"",B367)),join(,""0"",B367)),B367)"),1421.0)</f>
        <v>1421</v>
      </c>
      <c r="E367" s="262" t="s">
        <v>898</v>
      </c>
      <c r="F367" s="263" t="str">
        <f>vlookup(B367,'Geotagging Master All-Training '!$A$2:$C$2474,2,false)</f>
        <v>#N/A</v>
      </c>
      <c r="G367" s="263" t="str">
        <f>vlookup(B367,'Geotagging Master All-Training '!$A$2:$C$2474,3,false)</f>
        <v>#N/A</v>
      </c>
      <c r="H367" s="265" t="s">
        <v>20</v>
      </c>
      <c r="I367" s="266"/>
    </row>
    <row r="368" hidden="1">
      <c r="A368" s="258">
        <v>1260.0</v>
      </c>
      <c r="B368" s="258">
        <v>1260.0</v>
      </c>
      <c r="C368" s="260">
        <v>376.0</v>
      </c>
      <c r="D368" s="260">
        <f>IFERROR(__xludf.DUMMYFUNCTION("if(B368&lt;=999,if(B368&lt;=99,IF(B368&lt;=9,join(,""000"",B368),join(,""00"",B368)),join(,""0"",B368)),B368)"),1260.0)</f>
        <v>1260</v>
      </c>
      <c r="E368" s="262" t="s">
        <v>900</v>
      </c>
      <c r="F368" s="263" t="str">
        <f>vlookup(B368,'Geotagging Master All-Training '!$A$2:$C$2474,2,false)</f>
        <v>#N/A</v>
      </c>
      <c r="G368" s="263" t="str">
        <f>vlookup(B368,'Geotagging Master All-Training '!$A$2:$C$2474,3,false)</f>
        <v>#N/A</v>
      </c>
      <c r="H368" s="265" t="s">
        <v>20</v>
      </c>
      <c r="I368" s="266">
        <v>8000.0</v>
      </c>
    </row>
    <row r="369" hidden="1">
      <c r="A369" s="258">
        <v>36.0</v>
      </c>
      <c r="B369" s="259">
        <v>36.0</v>
      </c>
      <c r="C369" s="260">
        <v>377.0</v>
      </c>
      <c r="D369" s="260" t="str">
        <f>IFERROR(__xludf.DUMMYFUNCTION("if(B369&lt;=999,if(B369&lt;=99,IF(B369&lt;=9,join(,""000"",B369),join(,""00"",B369)),join(,""0"",B369)),B369)"),"0036")</f>
        <v>0036</v>
      </c>
      <c r="E369" s="262" t="s">
        <v>903</v>
      </c>
      <c r="F369" s="263" t="str">
        <f>vlookup(B369,'Geotagging Master All-Training '!$A$2:$C$2474,2,false)</f>
        <v>#N/A</v>
      </c>
      <c r="G369" s="263" t="str">
        <f>vlookup(B369,'Geotagging Master All-Training '!$A$2:$C$2474,3,false)</f>
        <v>#N/A</v>
      </c>
      <c r="H369" s="265" t="s">
        <v>20</v>
      </c>
      <c r="I369" s="266" t="s">
        <v>905</v>
      </c>
    </row>
    <row r="370" hidden="1">
      <c r="A370" s="258">
        <v>796.0</v>
      </c>
      <c r="B370" s="259">
        <v>796.0</v>
      </c>
      <c r="C370" s="260">
        <v>378.0</v>
      </c>
      <c r="D370" s="260" t="str">
        <f>IFERROR(__xludf.DUMMYFUNCTION("if(B370&lt;=999,if(B370&lt;=99,IF(B370&lt;=9,join(,""000"",B370),join(,""00"",B370)),join(,""0"",B370)),B370)"),"0796")</f>
        <v>0796</v>
      </c>
      <c r="E370" s="262" t="s">
        <v>908</v>
      </c>
      <c r="F370" s="263" t="str">
        <f>vlookup(B370,'Geotagging Master All-Training '!$A$2:$C$2474,2,false)</f>
        <v>#N/A</v>
      </c>
      <c r="G370" s="263" t="str">
        <f>vlookup(B370,'Geotagging Master All-Training '!$A$2:$C$2474,3,false)</f>
        <v>#N/A</v>
      </c>
      <c r="H370" s="265" t="s">
        <v>20</v>
      </c>
      <c r="I370" s="266" t="s">
        <v>910</v>
      </c>
    </row>
    <row r="371" hidden="1">
      <c r="A371" s="272">
        <v>250.0</v>
      </c>
      <c r="B371" s="272">
        <v>250.0</v>
      </c>
      <c r="C371" s="260">
        <v>379.0</v>
      </c>
      <c r="D371" s="273" t="str">
        <f>IFERROR(__xludf.DUMMYFUNCTION("if(B371&lt;=999,if(B371&lt;=99,IF(B371&lt;=9,join(,""000"",B371),join(,""00"",B371)),join(,""0"",B371)),B371)"),"0250")</f>
        <v>0250</v>
      </c>
      <c r="E371" s="304" t="s">
        <v>912</v>
      </c>
      <c r="F371" s="263" t="str">
        <f>vlookup(B371,'Geotagging Master All-Training '!$A$2:$C$2474,2,false)</f>
        <v>#N/A</v>
      </c>
      <c r="G371" s="263" t="str">
        <f>vlookup(B371,'Geotagging Master All-Training '!$A$2:$C$2474,3,false)</f>
        <v>#N/A</v>
      </c>
      <c r="H371" s="276" t="s">
        <v>20</v>
      </c>
      <c r="I371" s="277">
        <v>22.0</v>
      </c>
    </row>
    <row r="372" hidden="1">
      <c r="A372" s="258">
        <v>1410.0</v>
      </c>
      <c r="B372" s="258">
        <v>1410.0</v>
      </c>
      <c r="C372" s="260">
        <v>380.0</v>
      </c>
      <c r="D372" s="260">
        <f>IFERROR(__xludf.DUMMYFUNCTION("if(B372&lt;=999,if(B372&lt;=99,IF(B372&lt;=9,join(,""000"",B372),join(,""00"",B372)),join(,""0"",B372)),B372)"),1410.0)</f>
        <v>1410</v>
      </c>
      <c r="E372" s="262" t="s">
        <v>915</v>
      </c>
      <c r="F372" s="263" t="str">
        <f>vlookup(B372,'Geotagging Master All-Training '!$A$2:$C$2474,2,false)</f>
        <v>#N/A</v>
      </c>
      <c r="G372" s="263" t="str">
        <f>vlookup(B372,'Geotagging Master All-Training '!$A$2:$C$2474,3,false)</f>
        <v>#N/A</v>
      </c>
      <c r="H372" s="265" t="s">
        <v>20</v>
      </c>
      <c r="I372" s="266" t="s">
        <v>916</v>
      </c>
    </row>
    <row r="373" hidden="1">
      <c r="A373" s="258">
        <v>794.0</v>
      </c>
      <c r="B373" s="258">
        <v>794.0</v>
      </c>
      <c r="C373" s="260">
        <v>381.0</v>
      </c>
      <c r="D373" s="260" t="str">
        <f>IFERROR(__xludf.DUMMYFUNCTION("if(B373&lt;=999,if(B373&lt;=99,IF(B373&lt;=9,join(,""000"",B373),join(,""00"",B373)),join(,""0"",B373)),B373)"),"0794")</f>
        <v>0794</v>
      </c>
      <c r="E373" s="270" t="s">
        <v>1219</v>
      </c>
      <c r="F373" s="263" t="str">
        <f>vlookup(B373,'Geotagging Master All-Training '!$A$2:$C$2474,2,false)</f>
        <v>#N/A</v>
      </c>
      <c r="G373" s="263" t="str">
        <f>vlookup(B373,'Geotagging Master All-Training '!$A$2:$C$2474,3,false)</f>
        <v>#N/A</v>
      </c>
      <c r="H373" s="265" t="s">
        <v>20</v>
      </c>
      <c r="I373" s="266"/>
    </row>
    <row r="374" hidden="1">
      <c r="A374" s="272">
        <v>196.0</v>
      </c>
      <c r="B374" s="272">
        <v>196.0</v>
      </c>
      <c r="C374" s="273">
        <v>388.0</v>
      </c>
      <c r="D374" s="273" t="str">
        <f>IFERROR(__xludf.DUMMYFUNCTION("if(B374&lt;=999,if(B374&lt;=99,IF(B374&lt;=9,join(,""000"",B374),join(,""00"",B374)),join(,""0"",B374)),B374)"),"0196")</f>
        <v>0196</v>
      </c>
      <c r="E374" s="304" t="s">
        <v>265</v>
      </c>
      <c r="F374" s="303" t="str">
        <f>vlookup(B374,'Geotagging Master All-Training '!$A$2:$C$2474,2,false)</f>
        <v>#N/A</v>
      </c>
      <c r="G374" s="303" t="str">
        <f>vlookup(B374,'Geotagging Master All-Training '!$A$2:$C$2474,3,false)</f>
        <v>#N/A</v>
      </c>
      <c r="H374" s="265" t="s">
        <v>20</v>
      </c>
      <c r="I374" s="266" t="s">
        <v>266</v>
      </c>
    </row>
    <row r="375" hidden="1">
      <c r="A375" s="258">
        <v>85.0</v>
      </c>
      <c r="B375" s="258">
        <v>85.0</v>
      </c>
      <c r="C375" s="260">
        <v>384.0</v>
      </c>
      <c r="D375" s="260" t="str">
        <f>IFERROR(__xludf.DUMMYFUNCTION("if(B375&lt;=999,if(B375&lt;=99,IF(B375&lt;=9,join(,""000"",B375),join(,""00"",B375)),join(,""0"",B375)),B375)"),"0085")</f>
        <v>0085</v>
      </c>
      <c r="E375" s="270" t="s">
        <v>921</v>
      </c>
      <c r="F375" s="263" t="str">
        <f>vlookup(B375,'Geotagging Master All-Training '!$A$2:$C$2474,2,false)</f>
        <v>#N/A</v>
      </c>
      <c r="G375" s="263" t="str">
        <f>vlookup(B375,'Geotagging Master All-Training '!$A$2:$C$2474,3,false)</f>
        <v>#N/A</v>
      </c>
      <c r="H375" s="265" t="s">
        <v>20</v>
      </c>
      <c r="I375" s="266"/>
    </row>
    <row r="376" hidden="1">
      <c r="A376" s="258">
        <v>1078.0</v>
      </c>
      <c r="B376" s="259">
        <v>1078.0</v>
      </c>
      <c r="C376" s="260">
        <v>385.0</v>
      </c>
      <c r="D376" s="260">
        <f>IFERROR(__xludf.DUMMYFUNCTION("if(B376&lt;=999,if(B376&lt;=99,IF(B376&lt;=9,join(,""000"",B376),join(,""00"",B376)),join(,""0"",B376)),B376)"),1078.0)</f>
        <v>1078</v>
      </c>
      <c r="E376" s="262" t="s">
        <v>922</v>
      </c>
      <c r="F376" s="263" t="str">
        <f>vlookup(B376,'Geotagging Master All-Training '!$A$2:$C$2474,2,false)</f>
        <v>#N/A</v>
      </c>
      <c r="G376" s="263" t="str">
        <f>vlookup(B376,'Geotagging Master All-Training '!$A$2:$C$2474,3,false)</f>
        <v>#N/A</v>
      </c>
      <c r="H376" s="265" t="s">
        <v>20</v>
      </c>
      <c r="I376" s="266"/>
    </row>
    <row r="377" hidden="1">
      <c r="A377" s="258">
        <v>1171.0</v>
      </c>
      <c r="B377" s="258">
        <v>1171.0</v>
      </c>
      <c r="C377" s="260">
        <v>386.0</v>
      </c>
      <c r="D377" s="260">
        <f>IFERROR(__xludf.DUMMYFUNCTION("if(B377&lt;=999,if(B377&lt;=99,IF(B377&lt;=9,join(,""000"",B377),join(,""00"",B377)),join(,""0"",B377)),B377)"),1171.0)</f>
        <v>1171</v>
      </c>
      <c r="E377" s="270" t="s">
        <v>926</v>
      </c>
      <c r="F377" s="263" t="str">
        <f>vlookup(B377,'Geotagging Master All-Training '!$A$2:$C$2474,2,false)</f>
        <v>#N/A</v>
      </c>
      <c r="G377" s="263" t="str">
        <f>vlookup(B377,'Geotagging Master All-Training '!$A$2:$C$2474,3,false)</f>
        <v>#N/A</v>
      </c>
      <c r="H377" s="265" t="s">
        <v>20</v>
      </c>
      <c r="I377" s="266"/>
    </row>
    <row r="378" hidden="1">
      <c r="A378" s="258">
        <v>646.0</v>
      </c>
      <c r="B378" s="258">
        <v>646.0</v>
      </c>
      <c r="C378" s="260">
        <v>387.0</v>
      </c>
      <c r="D378" s="260" t="str">
        <f>IFERROR(__xludf.DUMMYFUNCTION("if(B378&lt;=999,if(B378&lt;=99,IF(B378&lt;=9,join(,""000"",B378),join(,""00"",B378)),join(,""0"",B378)),B378)"),"0646")</f>
        <v>0646</v>
      </c>
      <c r="E378" s="262" t="s">
        <v>928</v>
      </c>
      <c r="F378" s="263" t="str">
        <f>vlookup(B378,'Geotagging Master All-Training '!$A$2:$C$2474,2,false)</f>
        <v>#N/A</v>
      </c>
      <c r="G378" s="263" t="str">
        <f>vlookup(B378,'Geotagging Master All-Training '!$A$2:$C$2474,3,false)</f>
        <v>#N/A</v>
      </c>
      <c r="H378" s="265" t="s">
        <v>20</v>
      </c>
      <c r="I378" s="266" t="e">
        <v>#N/A</v>
      </c>
    </row>
    <row r="379" hidden="1">
      <c r="A379" s="272">
        <v>1262.0</v>
      </c>
      <c r="B379" s="272">
        <v>1262.0</v>
      </c>
      <c r="C379" s="273">
        <v>405.0</v>
      </c>
      <c r="D379" s="273">
        <f>IFERROR(__xludf.DUMMYFUNCTION("if(B379&lt;=999,if(B379&lt;=99,IF(B379&lt;=9,join(,""000"",B379),join(,""00"",B379)),join(,""0"",B379)),B379)"),1262.0)</f>
        <v>1262</v>
      </c>
      <c r="E379" s="304" t="s">
        <v>962</v>
      </c>
      <c r="F379" s="303" t="str">
        <f>vlookup(B379,'Geotagging Master All-Training '!$A$2:$C$2474,2,false)</f>
        <v>#N/A</v>
      </c>
      <c r="G379" s="303" t="str">
        <f>vlookup(B379,'Geotagging Master All-Training '!$A$2:$C$2474,3,false)</f>
        <v>#N/A</v>
      </c>
      <c r="H379" s="276" t="s">
        <v>20</v>
      </c>
      <c r="I379" s="277" t="e">
        <v>#N/A</v>
      </c>
    </row>
    <row r="380" hidden="1">
      <c r="A380" s="258">
        <v>65.0</v>
      </c>
      <c r="B380" s="258">
        <v>65.0</v>
      </c>
      <c r="C380" s="260">
        <v>389.0</v>
      </c>
      <c r="D380" s="260" t="str">
        <f>IFERROR(__xludf.DUMMYFUNCTION("if(B380&lt;=999,if(B380&lt;=99,IF(B380&lt;=9,join(,""000"",B380),join(,""00"",B380)),join(,""0"",B380)),B380)"),"0065")</f>
        <v>0065</v>
      </c>
      <c r="E380" s="270" t="s">
        <v>930</v>
      </c>
      <c r="F380" s="263" t="str">
        <f>vlookup(B380,'Geotagging Master All-Training '!$A$2:$C$2474,2,false)</f>
        <v>#N/A</v>
      </c>
      <c r="G380" s="263" t="str">
        <f>vlookup(B380,'Geotagging Master All-Training '!$A$2:$C$2474,3,false)</f>
        <v>#N/A</v>
      </c>
      <c r="H380" s="265" t="s">
        <v>20</v>
      </c>
      <c r="I380" s="266"/>
    </row>
    <row r="381" hidden="1">
      <c r="A381" s="258">
        <v>88.0</v>
      </c>
      <c r="B381" s="259">
        <v>88.0</v>
      </c>
      <c r="C381" s="260">
        <v>390.0</v>
      </c>
      <c r="D381" s="260" t="str">
        <f>IFERROR(__xludf.DUMMYFUNCTION("if(B381&lt;=999,if(B381&lt;=99,IF(B381&lt;=9,join(,""000"",B381),join(,""00"",B381)),join(,""0"",B381)),B381)"),"0088")</f>
        <v>0088</v>
      </c>
      <c r="E381" s="270" t="s">
        <v>931</v>
      </c>
      <c r="F381" s="263" t="str">
        <f>vlookup(B381,'Geotagging Master All-Training '!$A$2:$C$2474,2,false)</f>
        <v>#N/A</v>
      </c>
      <c r="G381" s="263" t="str">
        <f>vlookup(B381,'Geotagging Master All-Training '!$A$2:$C$2474,3,false)</f>
        <v>#N/A</v>
      </c>
      <c r="H381" s="265" t="s">
        <v>20</v>
      </c>
      <c r="I381" s="266"/>
    </row>
    <row r="382" hidden="1">
      <c r="A382" s="258">
        <v>632.0</v>
      </c>
      <c r="B382" s="258">
        <v>632.0</v>
      </c>
      <c r="C382" s="260">
        <v>391.0</v>
      </c>
      <c r="D382" s="260" t="str">
        <f>IFERROR(__xludf.DUMMYFUNCTION("if(B382&lt;=999,if(B382&lt;=99,IF(B382&lt;=9,join(,""000"",B382),join(,""00"",B382)),join(,""0"",B382)),B382)"),"0632")</f>
        <v>0632</v>
      </c>
      <c r="E382" s="262" t="s">
        <v>932</v>
      </c>
      <c r="F382" s="263" t="str">
        <f>vlookup(B382,'Geotagging Master All-Training '!$A$2:$C$2474,2,false)</f>
        <v>#N/A</v>
      </c>
      <c r="G382" s="263" t="str">
        <f>vlookup(B382,'Geotagging Master All-Training '!$A$2:$C$2474,3,false)</f>
        <v>#N/A</v>
      </c>
      <c r="H382" s="265" t="s">
        <v>20</v>
      </c>
      <c r="I382" s="266" t="s">
        <v>244</v>
      </c>
    </row>
    <row r="383" hidden="1">
      <c r="A383" s="258">
        <v>800.0</v>
      </c>
      <c r="B383" s="258">
        <v>800.0</v>
      </c>
      <c r="C383" s="260">
        <v>392.0</v>
      </c>
      <c r="D383" s="260" t="str">
        <f>IFERROR(__xludf.DUMMYFUNCTION("if(B383&lt;=999,if(B383&lt;=99,IF(B383&lt;=9,join(,""000"",B383),join(,""00"",B383)),join(,""0"",B383)),B383)"),"0800")</f>
        <v>0800</v>
      </c>
      <c r="E383" s="262" t="s">
        <v>934</v>
      </c>
      <c r="F383" s="263" t="str">
        <f>vlookup(B383,'Geotagging Master All-Training '!$A$2:$C$2474,2,false)</f>
        <v>#N/A</v>
      </c>
      <c r="G383" s="263" t="str">
        <f>vlookup(B383,'Geotagging Master All-Training '!$A$2:$C$2474,3,false)</f>
        <v>#N/A</v>
      </c>
      <c r="H383" s="265" t="s">
        <v>20</v>
      </c>
      <c r="I383" s="266">
        <v>80.0</v>
      </c>
    </row>
    <row r="384" hidden="1">
      <c r="A384" s="272">
        <v>619.0</v>
      </c>
      <c r="B384" s="272">
        <v>619.0</v>
      </c>
      <c r="C384" s="260">
        <v>393.0</v>
      </c>
      <c r="D384" s="273" t="str">
        <f>IFERROR(__xludf.DUMMYFUNCTION("if(B384&lt;=999,if(B384&lt;=99,IF(B384&lt;=9,join(,""000"",B384),join(,""00"",B384)),join(,""0"",B384)),B384)"),"0619")</f>
        <v>0619</v>
      </c>
      <c r="E384" s="304" t="s">
        <v>936</v>
      </c>
      <c r="F384" s="263" t="str">
        <f>vlookup(B384,'Geotagging Master All-Training '!$A$2:$C$2474,2,false)</f>
        <v>#N/A</v>
      </c>
      <c r="G384" s="263" t="str">
        <f>vlookup(B384,'Geotagging Master All-Training '!$A$2:$C$2474,3,false)</f>
        <v>#N/A</v>
      </c>
      <c r="H384" s="276" t="s">
        <v>20</v>
      </c>
      <c r="I384" s="277"/>
    </row>
    <row r="385" hidden="1">
      <c r="A385" s="258">
        <v>325.0</v>
      </c>
      <c r="B385" s="258">
        <v>325.0</v>
      </c>
      <c r="C385" s="273">
        <v>21.0</v>
      </c>
      <c r="D385" s="260" t="str">
        <f>IFERROR(__xludf.DUMMYFUNCTION("if(B385&lt;=999,if(B385&lt;=99,IF(B385&lt;=9,join(,""000"",B385),join(,""00"",B385)),join(,""0"",B385)),B385)"),"0325")</f>
        <v>0325</v>
      </c>
      <c r="E385" s="270" t="s">
        <v>938</v>
      </c>
      <c r="F385" s="263" t="str">
        <f>vlookup(B385,'Geotagging Master All-Training '!$A$2:$C$2474,2,false)</f>
        <v>#N/A</v>
      </c>
      <c r="G385" s="263" t="str">
        <f>vlookup(B385,'Geotagging Master All-Training '!$A$2:$C$2474,3,false)</f>
        <v>#N/A</v>
      </c>
      <c r="H385" s="265" t="s">
        <v>35</v>
      </c>
      <c r="I385" s="266" t="e">
        <v>#N/A</v>
      </c>
    </row>
    <row r="386" hidden="1">
      <c r="A386" s="258">
        <v>639.0</v>
      </c>
      <c r="B386" s="258">
        <v>639.0</v>
      </c>
      <c r="C386" s="260">
        <v>395.0</v>
      </c>
      <c r="D386" s="260" t="str">
        <f>IFERROR(__xludf.DUMMYFUNCTION("if(B386&lt;=999,if(B386&lt;=99,IF(B386&lt;=9,join(,""000"",B386),join(,""00"",B386)),join(,""0"",B386)),B386)"),"0639")</f>
        <v>0639</v>
      </c>
      <c r="E386" s="262" t="s">
        <v>939</v>
      </c>
      <c r="F386" s="263" t="str">
        <f>vlookup(B386,'Geotagging Master All-Training '!$A$2:$C$2474,2,false)</f>
        <v>#N/A</v>
      </c>
      <c r="G386" s="263" t="str">
        <f>vlookup(B386,'Geotagging Master All-Training '!$A$2:$C$2474,3,false)</f>
        <v>#N/A</v>
      </c>
      <c r="H386" s="265" t="s">
        <v>20</v>
      </c>
      <c r="I386" s="266">
        <v>25001.0</v>
      </c>
    </row>
    <row r="387" hidden="1">
      <c r="A387" s="272">
        <v>830.0</v>
      </c>
      <c r="B387" s="272">
        <v>830.0</v>
      </c>
      <c r="C387" s="260">
        <v>396.0</v>
      </c>
      <c r="D387" s="273" t="str">
        <f>IFERROR(__xludf.DUMMYFUNCTION("if(B387&lt;=999,if(B387&lt;=99,IF(B387&lt;=9,join(,""000"",B387),join(,""00"",B387)),join(,""0"",B387)),B387)"),"0830")</f>
        <v>0830</v>
      </c>
      <c r="E387" s="304" t="s">
        <v>942</v>
      </c>
      <c r="F387" s="263" t="str">
        <f>vlookup(B387,'Geotagging Master All-Training '!$A$2:$C$2474,2,false)</f>
        <v>#N/A</v>
      </c>
      <c r="G387" s="263" t="str">
        <f>vlookup(B387,'Geotagging Master All-Training '!$A$2:$C$2474,3,false)</f>
        <v>#N/A</v>
      </c>
      <c r="H387" s="276" t="s">
        <v>20</v>
      </c>
      <c r="I387" s="277" t="s">
        <v>944</v>
      </c>
    </row>
    <row r="388" hidden="1">
      <c r="A388" s="317">
        <v>1267.0</v>
      </c>
      <c r="B388" s="258">
        <v>1267.0</v>
      </c>
      <c r="C388" s="260">
        <v>397.0</v>
      </c>
      <c r="D388" s="260">
        <f>IFERROR(__xludf.DUMMYFUNCTION("if(B388&lt;=999,if(B388&lt;=99,IF(B388&lt;=9,join(,""000"",B388),join(,""00"",B388)),join(,""0"",B388)),B388)"),1267.0)</f>
        <v>1267</v>
      </c>
      <c r="E388" s="262" t="s">
        <v>947</v>
      </c>
      <c r="F388" s="263" t="str">
        <f>vlookup(B388,'Geotagging Master All-Training '!$A$2:$C$2474,2,false)</f>
        <v>#N/A</v>
      </c>
      <c r="G388" s="263" t="str">
        <f>vlookup(B388,'Geotagging Master All-Training '!$A$2:$C$2474,3,false)</f>
        <v>#N/A</v>
      </c>
      <c r="H388" s="265" t="s">
        <v>20</v>
      </c>
      <c r="I388" s="266" t="s">
        <v>950</v>
      </c>
    </row>
    <row r="389" hidden="1">
      <c r="A389" s="258">
        <v>522.0</v>
      </c>
      <c r="B389" s="258">
        <v>522.0</v>
      </c>
      <c r="C389" s="260">
        <v>398.0</v>
      </c>
      <c r="D389" s="260" t="str">
        <f>IFERROR(__xludf.DUMMYFUNCTION("if(B389&lt;=999,if(B389&lt;=99,IF(B389&lt;=9,join(,""000"",B389),join(,""00"",B389)),join(,""0"",B389)),B389)"),"0522")</f>
        <v>0522</v>
      </c>
      <c r="E389" s="262" t="s">
        <v>951</v>
      </c>
      <c r="F389" s="263" t="str">
        <f>vlookup(B389,'Geotagging Master All-Training '!$A$2:$C$2474,2,false)</f>
        <v>#N/A</v>
      </c>
      <c r="G389" s="263" t="str">
        <f>vlookup(B389,'Geotagging Master All-Training '!$A$2:$C$2474,3,false)</f>
        <v>#N/A</v>
      </c>
      <c r="H389" s="265" t="s">
        <v>20</v>
      </c>
      <c r="I389" s="266">
        <v>80.0</v>
      </c>
    </row>
    <row r="390" hidden="1">
      <c r="A390" s="258">
        <v>951.0</v>
      </c>
      <c r="B390" s="258">
        <v>951.0</v>
      </c>
      <c r="C390" s="260">
        <v>399.0</v>
      </c>
      <c r="D390" s="260" t="str">
        <f>IFERROR(__xludf.DUMMYFUNCTION("if(B390&lt;=999,if(B390&lt;=99,IF(B390&lt;=9,join(,""000"",B390),join(,""00"",B390)),join(,""0"",B390)),B390)"),"0951")</f>
        <v>0951</v>
      </c>
      <c r="E390" s="262" t="s">
        <v>952</v>
      </c>
      <c r="F390" s="263" t="str">
        <f>vlookup(B390,'Geotagging Master All-Training '!$A$2:$C$2474,2,false)</f>
        <v>#N/A</v>
      </c>
      <c r="G390" s="263" t="str">
        <f>vlookup(B390,'Geotagging Master All-Training '!$A$2:$C$2474,3,false)</f>
        <v>#N/A</v>
      </c>
      <c r="H390" s="265" t="s">
        <v>20</v>
      </c>
      <c r="I390" s="266">
        <v>80.0</v>
      </c>
    </row>
    <row r="391" hidden="1">
      <c r="A391" s="272">
        <v>468.0</v>
      </c>
      <c r="B391" s="272">
        <v>468.0</v>
      </c>
      <c r="C391" s="260">
        <v>400.0</v>
      </c>
      <c r="D391" s="273" t="str">
        <f>IFERROR(__xludf.DUMMYFUNCTION("if(B391&lt;=999,if(B391&lt;=99,IF(B391&lt;=9,join(,""000"",B391),join(,""00"",B391)),join(,""0"",B391)),B391)"),"0468")</f>
        <v>0468</v>
      </c>
      <c r="E391" s="304" t="s">
        <v>954</v>
      </c>
      <c r="F391" s="263" t="str">
        <f>vlookup(B391,'Geotagging Master All-Training '!$A$2:$C$2474,2,false)</f>
        <v>#N/A</v>
      </c>
      <c r="G391" s="263" t="str">
        <f>vlookup(B391,'Geotagging Master All-Training '!$A$2:$C$2474,3,false)</f>
        <v>#N/A</v>
      </c>
      <c r="H391" s="276" t="s">
        <v>20</v>
      </c>
      <c r="I391" s="277">
        <v>16.0</v>
      </c>
    </row>
    <row r="392" hidden="1">
      <c r="A392" s="258">
        <v>1070.0</v>
      </c>
      <c r="B392" s="258">
        <v>1070.0</v>
      </c>
      <c r="C392" s="260">
        <v>401.0</v>
      </c>
      <c r="D392" s="260">
        <f>IFERROR(__xludf.DUMMYFUNCTION("if(B392&lt;=999,if(B392&lt;=99,IF(B392&lt;=9,join(,""000"",B392),join(,""00"",B392)),join(,""0"",B392)),B392)"),1070.0)</f>
        <v>1070</v>
      </c>
      <c r="E392" s="270" t="s">
        <v>956</v>
      </c>
      <c r="F392" s="263" t="str">
        <f>vlookup(B392,'Geotagging Master All-Training '!$A$2:$C$2474,2,false)</f>
        <v>#N/A</v>
      </c>
      <c r="G392" s="263" t="str">
        <f>vlookup(B392,'Geotagging Master All-Training '!$A$2:$C$2474,3,false)</f>
        <v>#N/A</v>
      </c>
      <c r="H392" s="265" t="s">
        <v>20</v>
      </c>
      <c r="I392" s="266">
        <v>2.0</v>
      </c>
    </row>
    <row r="393" hidden="1">
      <c r="A393" s="258">
        <v>1258.0</v>
      </c>
      <c r="B393" s="258">
        <v>1258.0</v>
      </c>
      <c r="C393" s="260">
        <v>402.0</v>
      </c>
      <c r="D393" s="260">
        <f>IFERROR(__xludf.DUMMYFUNCTION("if(B393&lt;=999,if(B393&lt;=99,IF(B393&lt;=9,join(,""000"",B393),join(,""00"",B393)),join(,""0"",B393)),B393)"),1258.0)</f>
        <v>1258</v>
      </c>
      <c r="E393" s="262" t="s">
        <v>957</v>
      </c>
      <c r="F393" s="263" t="str">
        <f>vlookup(B393,'Geotagging Master All-Training '!$A$2:$C$2474,2,false)</f>
        <v>#N/A</v>
      </c>
      <c r="G393" s="263" t="str">
        <f>vlookup(B393,'Geotagging Master All-Training '!$A$2:$C$2474,3,false)</f>
        <v>#N/A</v>
      </c>
      <c r="H393" s="265" t="s">
        <v>20</v>
      </c>
      <c r="I393" s="266">
        <v>32.0</v>
      </c>
    </row>
    <row r="394" hidden="1">
      <c r="A394" s="258">
        <v>1190.0</v>
      </c>
      <c r="B394" s="259">
        <v>1190.0</v>
      </c>
      <c r="C394" s="260">
        <v>403.0</v>
      </c>
      <c r="D394" s="260">
        <f>IFERROR(__xludf.DUMMYFUNCTION("if(B394&lt;=999,if(B394&lt;=99,IF(B394&lt;=9,join(,""000"",B394),join(,""00"",B394)),join(,""0"",B394)),B394)"),1190.0)</f>
        <v>1190</v>
      </c>
      <c r="E394" s="262" t="s">
        <v>960</v>
      </c>
      <c r="F394" s="263" t="str">
        <f>vlookup(B394,'Geotagging Master All-Training '!$A$2:$C$2474,2,false)</f>
        <v>#N/A</v>
      </c>
      <c r="G394" s="263" t="str">
        <f>vlookup(B394,'Geotagging Master All-Training '!$A$2:$C$2474,3,false)</f>
        <v>#N/A</v>
      </c>
      <c r="H394" s="265" t="s">
        <v>20</v>
      </c>
      <c r="I394" s="266">
        <v>32.0</v>
      </c>
    </row>
    <row r="395" hidden="1">
      <c r="A395" s="258">
        <v>1191.0</v>
      </c>
      <c r="B395" s="258">
        <v>1191.0</v>
      </c>
      <c r="C395" s="260">
        <v>404.0</v>
      </c>
      <c r="D395" s="260">
        <f>IFERROR(__xludf.DUMMYFUNCTION("if(B395&lt;=999,if(B395&lt;=99,IF(B395&lt;=9,join(,""000"",B395),join(,""00"",B395)),join(,""0"",B395)),B395)"),1191.0)</f>
        <v>1191</v>
      </c>
      <c r="E395" s="262" t="s">
        <v>961</v>
      </c>
      <c r="F395" s="263" t="str">
        <f>vlookup(B395,'Geotagging Master All-Training '!$A$2:$C$2474,2,false)</f>
        <v>#N/A</v>
      </c>
      <c r="G395" s="263" t="str">
        <f>vlookup(B395,'Geotagging Master All-Training '!$A$2:$C$2474,3,false)</f>
        <v>#N/A</v>
      </c>
      <c r="H395" s="265" t="s">
        <v>20</v>
      </c>
      <c r="I395" s="266">
        <v>32.0</v>
      </c>
    </row>
    <row r="396" hidden="1">
      <c r="A396" s="272">
        <v>1273.0</v>
      </c>
      <c r="B396" s="272">
        <v>1273.0</v>
      </c>
      <c r="C396" s="273">
        <v>447.0</v>
      </c>
      <c r="D396" s="273">
        <f>IFERROR(__xludf.DUMMYFUNCTION("if(B396&lt;=999,if(B396&lt;=99,IF(B396&lt;=9,join(,""000"",B396),join(,""00"",B396)),join(,""0"",B396)),B396)"),1273.0)</f>
        <v>1273</v>
      </c>
      <c r="E396" s="304" t="s">
        <v>322</v>
      </c>
      <c r="F396" s="303" t="str">
        <f>vlookup(B396,'Geotagging Master All-Training '!$A$2:$C$2474,2,false)</f>
        <v>#N/A</v>
      </c>
      <c r="G396" s="303" t="str">
        <f>vlookup(B396,'Geotagging Master All-Training '!$A$2:$C$2474,3,false)</f>
        <v>#N/A</v>
      </c>
      <c r="H396" s="276" t="s">
        <v>20</v>
      </c>
      <c r="I396" s="277"/>
    </row>
    <row r="397" hidden="1">
      <c r="A397" s="258">
        <v>1048.0</v>
      </c>
      <c r="B397" s="258">
        <v>1048.0</v>
      </c>
      <c r="C397" s="260">
        <v>406.0</v>
      </c>
      <c r="D397" s="260">
        <f>IFERROR(__xludf.DUMMYFUNCTION("if(B397&lt;=999,if(B397&lt;=99,IF(B397&lt;=9,join(,""000"",B397),join(,""00"",B397)),join(,""0"",B397)),B397)"),1048.0)</f>
        <v>1048</v>
      </c>
      <c r="E397" s="262" t="s">
        <v>963</v>
      </c>
      <c r="F397" s="263" t="str">
        <f>vlookup(B397,'Geotagging Master All-Training '!$A$2:$C$2474,2,false)</f>
        <v>#N/A</v>
      </c>
      <c r="G397" s="263" t="str">
        <f>vlookup(B397,'Geotagging Master All-Training '!$A$2:$C$2474,3,false)</f>
        <v>#N/A</v>
      </c>
      <c r="H397" s="265" t="s">
        <v>20</v>
      </c>
      <c r="I397" s="266" t="e">
        <v>#N/A</v>
      </c>
    </row>
    <row r="398" hidden="1">
      <c r="A398" s="258">
        <v>21.0</v>
      </c>
      <c r="B398" s="258">
        <v>21.0</v>
      </c>
      <c r="C398" s="260">
        <v>407.0</v>
      </c>
      <c r="D398" s="260" t="str">
        <f>IFERROR(__xludf.DUMMYFUNCTION("if(B398&lt;=999,if(B398&lt;=99,IF(B398&lt;=9,join(,""000"",B398),join(,""00"",B398)),join(,""0"",B398)),B398)"),"0021")</f>
        <v>0021</v>
      </c>
      <c r="E398" s="262" t="s">
        <v>1337</v>
      </c>
      <c r="F398" s="263" t="str">
        <f>vlookup(B398,'Geotagging Master All-Training '!$A$2:$C$2474,2,false)</f>
        <v>#N/A</v>
      </c>
      <c r="G398" s="263" t="str">
        <f>vlookup(B398,'Geotagging Master All-Training '!$A$2:$C$2474,3,false)</f>
        <v>#N/A</v>
      </c>
      <c r="H398" s="265" t="s">
        <v>20</v>
      </c>
      <c r="I398" s="266">
        <v>8000.0</v>
      </c>
    </row>
    <row r="399" hidden="1">
      <c r="A399" s="258">
        <v>1293.0</v>
      </c>
      <c r="B399" s="258">
        <v>1293.0</v>
      </c>
      <c r="C399" s="260">
        <v>408.0</v>
      </c>
      <c r="D399" s="260">
        <f>IFERROR(__xludf.DUMMYFUNCTION("if(B399&lt;=999,if(B399&lt;=99,IF(B399&lt;=9,join(,""000"",B399),join(,""00"",B399)),join(,""0"",B399)),B399)"),1293.0)</f>
        <v>1293</v>
      </c>
      <c r="E399" s="270" t="s">
        <v>969</v>
      </c>
      <c r="F399" s="263" t="str">
        <f>vlookup(B399,'Geotagging Master All-Training '!$A$2:$C$2474,2,false)</f>
        <v>#N/A</v>
      </c>
      <c r="G399" s="263" t="str">
        <f>vlookup(B399,'Geotagging Master All-Training '!$A$2:$C$2474,3,false)</f>
        <v>#N/A</v>
      </c>
      <c r="H399" s="265" t="s">
        <v>20</v>
      </c>
      <c r="I399" s="266">
        <v>24.0</v>
      </c>
    </row>
    <row r="400" hidden="1">
      <c r="A400" s="272">
        <v>1305.0</v>
      </c>
      <c r="B400" s="272">
        <v>1305.0</v>
      </c>
      <c r="C400" s="260">
        <v>409.0</v>
      </c>
      <c r="D400" s="273">
        <f>IFERROR(__xludf.DUMMYFUNCTION("if(B400&lt;=999,if(B400&lt;=99,IF(B400&lt;=9,join(,""000"",B400),join(,""00"",B400)),join(,""0"",B400)),B400)"),1305.0)</f>
        <v>1305</v>
      </c>
      <c r="E400" s="304" t="s">
        <v>970</v>
      </c>
      <c r="F400" s="263" t="str">
        <f>vlookup(B400,'Geotagging Master All-Training '!$A$2:$C$2474,2,false)</f>
        <v>#N/A</v>
      </c>
      <c r="G400" s="263" t="str">
        <f>vlookup(B400,'Geotagging Master All-Training '!$A$2:$C$2474,3,false)</f>
        <v>#N/A</v>
      </c>
      <c r="H400" s="276" t="s">
        <v>20</v>
      </c>
      <c r="I400" s="277">
        <v>80.0</v>
      </c>
    </row>
    <row r="401" hidden="1">
      <c r="A401" s="258">
        <v>1253.0</v>
      </c>
      <c r="B401" s="258">
        <v>1253.0</v>
      </c>
      <c r="C401" s="260">
        <v>410.0</v>
      </c>
      <c r="D401" s="260">
        <f>IFERROR(__xludf.DUMMYFUNCTION("if(B401&lt;=999,if(B401&lt;=99,IF(B401&lt;=9,join(,""000"",B401),join(,""00"",B401)),join(,""0"",B401)),B401)"),1253.0)</f>
        <v>1253</v>
      </c>
      <c r="E401" s="262" t="s">
        <v>973</v>
      </c>
      <c r="F401" s="263" t="str">
        <f>vlookup(B401,'Geotagging Master All-Training '!$A$2:$C$2474,2,false)</f>
        <v>#N/A</v>
      </c>
      <c r="G401" s="263" t="str">
        <f>vlookup(B401,'Geotagging Master All-Training '!$A$2:$C$2474,3,false)</f>
        <v>#N/A</v>
      </c>
      <c r="H401" s="265" t="s">
        <v>20</v>
      </c>
      <c r="I401" s="266">
        <v>8000.0</v>
      </c>
    </row>
    <row r="402" hidden="1">
      <c r="A402" s="258">
        <v>1189.0</v>
      </c>
      <c r="B402" s="258">
        <v>1189.0</v>
      </c>
      <c r="C402" s="260">
        <v>411.0</v>
      </c>
      <c r="D402" s="260">
        <f>IFERROR(__xludf.DUMMYFUNCTION("if(B402&lt;=999,if(B402&lt;=99,IF(B402&lt;=9,join(,""000"",B402),join(,""00"",B402)),join(,""0"",B402)),B402)"),1189.0)</f>
        <v>1189</v>
      </c>
      <c r="E402" s="262" t="s">
        <v>976</v>
      </c>
      <c r="F402" s="263" t="str">
        <f>vlookup(B402,'Geotagging Master All-Training '!$A$2:$C$2474,2,false)</f>
        <v>#N/A</v>
      </c>
      <c r="G402" s="263" t="str">
        <f>vlookup(B402,'Geotagging Master All-Training '!$A$2:$C$2474,3,false)</f>
        <v>#N/A</v>
      </c>
      <c r="H402" s="265" t="s">
        <v>20</v>
      </c>
      <c r="I402" s="266">
        <v>8000.0</v>
      </c>
    </row>
    <row r="403" hidden="1">
      <c r="A403" s="272">
        <v>221.0</v>
      </c>
      <c r="B403" s="272">
        <v>221.0</v>
      </c>
      <c r="C403" s="260">
        <v>412.0</v>
      </c>
      <c r="D403" s="273" t="str">
        <f>IFERROR(__xludf.DUMMYFUNCTION("if(B403&lt;=999,if(B403&lt;=99,IF(B403&lt;=9,join(,""000"",B403),join(,""00"",B403)),join(,""0"",B403)),B403)"),"0221")</f>
        <v>0221</v>
      </c>
      <c r="E403" s="304" t="s">
        <v>977</v>
      </c>
      <c r="F403" s="263" t="str">
        <f>vlookup(B403,'Geotagging Master All-Training '!$A$2:$C$2474,2,false)</f>
        <v>#N/A</v>
      </c>
      <c r="G403" s="263" t="str">
        <f>vlookup(B403,'Geotagging Master All-Training '!$A$2:$C$2474,3,false)</f>
        <v>#N/A</v>
      </c>
      <c r="H403" s="276" t="s">
        <v>20</v>
      </c>
      <c r="I403" s="277" t="e">
        <v>#N/A</v>
      </c>
    </row>
    <row r="404" hidden="1">
      <c r="A404" s="258">
        <v>337.0</v>
      </c>
      <c r="B404" s="259">
        <v>337.0</v>
      </c>
      <c r="C404" s="260">
        <v>413.0</v>
      </c>
      <c r="D404" s="260" t="str">
        <f>IFERROR(__xludf.DUMMYFUNCTION("if(B404&lt;=999,if(B404&lt;=99,IF(B404&lt;=9,join(,""000"",B404),join(,""00"",B404)),join(,""0"",B404)),B404)"),"0337")</f>
        <v>0337</v>
      </c>
      <c r="E404" s="270" t="s">
        <v>982</v>
      </c>
      <c r="F404" s="263" t="str">
        <f>vlookup(B404,'Geotagging Master All-Training '!$A$2:$C$2474,2,false)</f>
        <v>#N/A</v>
      </c>
      <c r="G404" s="263" t="str">
        <f>vlookup(B404,'Geotagging Master All-Training '!$A$2:$C$2474,3,false)</f>
        <v>#N/A</v>
      </c>
      <c r="H404" s="265" t="s">
        <v>20</v>
      </c>
      <c r="I404" s="266">
        <v>8000.0</v>
      </c>
    </row>
    <row r="405" hidden="1">
      <c r="A405" s="258">
        <v>819.0</v>
      </c>
      <c r="B405" s="259">
        <v>819.0</v>
      </c>
      <c r="C405" s="260">
        <v>414.0</v>
      </c>
      <c r="D405" s="260" t="str">
        <f>IFERROR(__xludf.DUMMYFUNCTION("if(B405&lt;=999,if(B405&lt;=99,IF(B405&lt;=9,join(,""000"",B405),join(,""00"",B405)),join(,""0"",B405)),B405)"),"0819")</f>
        <v>0819</v>
      </c>
      <c r="E405" s="262" t="s">
        <v>984</v>
      </c>
      <c r="F405" s="263" t="str">
        <f>vlookup(B405,'Geotagging Master All-Training '!$A$2:$C$2474,2,false)</f>
        <v>#N/A</v>
      </c>
      <c r="G405" s="263" t="str">
        <f>vlookup(B405,'Geotagging Master All-Training '!$A$2:$C$2474,3,false)</f>
        <v>#N/A</v>
      </c>
      <c r="H405" s="265" t="s">
        <v>20</v>
      </c>
      <c r="I405" s="266" t="e">
        <v>#N/A</v>
      </c>
    </row>
    <row r="406" hidden="1">
      <c r="A406" s="258">
        <v>1050.0</v>
      </c>
      <c r="B406" s="258">
        <v>1050.0</v>
      </c>
      <c r="C406" s="260">
        <v>415.0</v>
      </c>
      <c r="D406" s="260">
        <f>IFERROR(__xludf.DUMMYFUNCTION("if(B406&lt;=999,if(B406&lt;=99,IF(B406&lt;=9,join(,""000"",B406),join(,""00"",B406)),join(,""0"",B406)),B406)"),1050.0)</f>
        <v>1050</v>
      </c>
      <c r="E406" s="270" t="s">
        <v>988</v>
      </c>
      <c r="F406" s="263" t="str">
        <f>vlookup(B406,'Geotagging Master All-Training '!$A$2:$C$2474,2,false)</f>
        <v>#N/A</v>
      </c>
      <c r="G406" s="263" t="str">
        <f>vlookup(B406,'Geotagging Master All-Training '!$A$2:$C$2474,3,false)</f>
        <v>#N/A</v>
      </c>
      <c r="H406" s="265" t="s">
        <v>20</v>
      </c>
      <c r="I406" s="266">
        <v>16.0</v>
      </c>
    </row>
    <row r="407" hidden="1">
      <c r="A407" s="258">
        <v>17.0</v>
      </c>
      <c r="B407" s="258">
        <v>17.0</v>
      </c>
      <c r="C407" s="260">
        <v>416.0</v>
      </c>
      <c r="D407" s="260" t="str">
        <f>IFERROR(__xludf.DUMMYFUNCTION("if(B407&lt;=999,if(B407&lt;=99,IF(B407&lt;=9,join(,""000"",B407),join(,""00"",B407)),join(,""0"",B407)),B407)"),"0017")</f>
        <v>0017</v>
      </c>
      <c r="E407" s="270" t="s">
        <v>989</v>
      </c>
      <c r="F407" s="263" t="str">
        <f>vlookup(B407,'Geotagging Master All-Training '!$A$2:$C$2474,2,false)</f>
        <v>#N/A</v>
      </c>
      <c r="G407" s="263" t="str">
        <f>vlookup(B407,'Geotagging Master All-Training '!$A$2:$C$2474,3,false)</f>
        <v>#N/A</v>
      </c>
      <c r="H407" s="265" t="s">
        <v>20</v>
      </c>
      <c r="I407" s="266">
        <v>8000.0</v>
      </c>
    </row>
    <row r="408" hidden="1">
      <c r="A408" s="258">
        <v>340.0</v>
      </c>
      <c r="B408" s="258">
        <v>340.0</v>
      </c>
      <c r="C408" s="260">
        <v>417.0</v>
      </c>
      <c r="D408" s="260" t="str">
        <f>IFERROR(__xludf.DUMMYFUNCTION("if(B408&lt;=999,if(B408&lt;=99,IF(B408&lt;=9,join(,""000"",B408),join(,""00"",B408)),join(,""0"",B408)),B408)"),"0340")</f>
        <v>0340</v>
      </c>
      <c r="E408" s="262" t="s">
        <v>990</v>
      </c>
      <c r="F408" s="263" t="str">
        <f>vlookup(B408,'Geotagging Master All-Training '!$A$2:$C$2474,2,false)</f>
        <v>#N/A</v>
      </c>
      <c r="G408" s="263" t="str">
        <f>vlookup(B408,'Geotagging Master All-Training '!$A$2:$C$2474,3,false)</f>
        <v>#N/A</v>
      </c>
      <c r="H408" s="265" t="s">
        <v>20</v>
      </c>
      <c r="I408" s="266">
        <v>25001.0</v>
      </c>
    </row>
    <row r="409" hidden="1">
      <c r="A409" s="258">
        <v>1134.0</v>
      </c>
      <c r="B409" s="258">
        <v>1134.0</v>
      </c>
      <c r="C409" s="260">
        <v>418.0</v>
      </c>
      <c r="D409" s="260">
        <f>IFERROR(__xludf.DUMMYFUNCTION("if(B409&lt;=999,if(B409&lt;=99,IF(B409&lt;=9,join(,""000"",B409),join(,""00"",B409)),join(,""0"",B409)),B409)"),1134.0)</f>
        <v>1134</v>
      </c>
      <c r="E409" s="270" t="s">
        <v>993</v>
      </c>
      <c r="F409" s="263" t="str">
        <f>vlookup(B409,'Geotagging Master All-Training '!$A$2:$C$2474,2,false)</f>
        <v>#N/A</v>
      </c>
      <c r="G409" s="263" t="str">
        <f>vlookup(B409,'Geotagging Master All-Training '!$A$2:$C$2474,3,false)</f>
        <v>#N/A</v>
      </c>
      <c r="H409" s="265" t="s">
        <v>20</v>
      </c>
      <c r="I409" s="266">
        <v>8080.0</v>
      </c>
    </row>
    <row r="410" hidden="1">
      <c r="A410" s="258">
        <v>1198.0</v>
      </c>
      <c r="B410" s="258">
        <v>1198.0</v>
      </c>
      <c r="C410" s="260">
        <v>419.0</v>
      </c>
      <c r="D410" s="260">
        <f>IFERROR(__xludf.DUMMYFUNCTION("if(B410&lt;=999,if(B410&lt;=99,IF(B410&lt;=9,join(,""000"",B410),join(,""00"",B410)),join(,""0"",B410)),B410)"),1198.0)</f>
        <v>1198</v>
      </c>
      <c r="E410" s="262" t="s">
        <v>994</v>
      </c>
      <c r="F410" s="263" t="str">
        <f>vlookup(B410,'Geotagging Master All-Training '!$A$2:$C$2474,2,false)</f>
        <v>#N/A</v>
      </c>
      <c r="G410" s="263" t="str">
        <f>vlookup(B410,'Geotagging Master All-Training '!$A$2:$C$2474,3,false)</f>
        <v>#N/A</v>
      </c>
      <c r="H410" s="265" t="s">
        <v>20</v>
      </c>
      <c r="I410" s="266">
        <v>80.0</v>
      </c>
    </row>
    <row r="411" hidden="1">
      <c r="A411" s="258">
        <v>18.0</v>
      </c>
      <c r="B411" s="258">
        <v>18.0</v>
      </c>
      <c r="C411" s="260">
        <v>420.0</v>
      </c>
      <c r="D411" s="260" t="str">
        <f>IFERROR(__xludf.DUMMYFUNCTION("if(B411&lt;=999,if(B411&lt;=99,IF(B411&lt;=9,join(,""000"",B411),join(,""00"",B411)),join(,""0"",B411)),B411)"),"0018")</f>
        <v>0018</v>
      </c>
      <c r="E411" s="270" t="s">
        <v>996</v>
      </c>
      <c r="F411" s="263" t="str">
        <f>vlookup(B411,'Geotagging Master All-Training '!$A$2:$C$2474,2,false)</f>
        <v>#N/A</v>
      </c>
      <c r="G411" s="263" t="str">
        <f>vlookup(B411,'Geotagging Master All-Training '!$A$2:$C$2474,3,false)</f>
        <v>#N/A</v>
      </c>
      <c r="H411" s="265" t="s">
        <v>20</v>
      </c>
      <c r="I411" s="266">
        <v>16.0</v>
      </c>
    </row>
    <row r="412" hidden="1">
      <c r="A412" s="258">
        <v>818.0</v>
      </c>
      <c r="B412" s="258">
        <v>818.0</v>
      </c>
      <c r="C412" s="260">
        <v>421.0</v>
      </c>
      <c r="D412" s="260" t="str">
        <f>IFERROR(__xludf.DUMMYFUNCTION("if(B412&lt;=999,if(B412&lt;=99,IF(B412&lt;=9,join(,""000"",B412),join(,""00"",B412)),join(,""0"",B412)),B412)"),"0818")</f>
        <v>0818</v>
      </c>
      <c r="E412" s="270" t="s">
        <v>997</v>
      </c>
      <c r="F412" s="263" t="str">
        <f>vlookup(B412,'Geotagging Master All-Training '!$A$2:$C$2474,2,false)</f>
        <v>#N/A</v>
      </c>
      <c r="G412" s="263" t="str">
        <f>vlookup(B412,'Geotagging Master All-Training '!$A$2:$C$2474,3,false)</f>
        <v>#N/A</v>
      </c>
      <c r="H412" s="265" t="s">
        <v>20</v>
      </c>
      <c r="I412" s="266"/>
    </row>
    <row r="413" hidden="1">
      <c r="A413" s="258">
        <v>1320.0</v>
      </c>
      <c r="B413" s="258">
        <v>1320.0</v>
      </c>
      <c r="C413" s="260">
        <v>422.0</v>
      </c>
      <c r="D413" s="260">
        <f>IFERROR(__xludf.DUMMYFUNCTION("if(B413&lt;=999,if(B413&lt;=99,IF(B413&lt;=9,join(,""000"",B413),join(,""00"",B413)),join(,""0"",B413)),B413)"),1320.0)</f>
        <v>1320</v>
      </c>
      <c r="E413" s="262" t="s">
        <v>999</v>
      </c>
      <c r="F413" s="263" t="str">
        <f>vlookup(B413,'Geotagging Master All-Training '!$A$2:$C$2474,2,false)</f>
        <v>#N/A</v>
      </c>
      <c r="G413" s="263" t="str">
        <f>vlookup(B413,'Geotagging Master All-Training '!$A$2:$C$2474,3,false)</f>
        <v>#N/A</v>
      </c>
      <c r="H413" s="265" t="s">
        <v>20</v>
      </c>
      <c r="I413" s="266" t="e">
        <v>#N/A</v>
      </c>
    </row>
    <row r="414" hidden="1">
      <c r="A414" s="258">
        <v>1026.0</v>
      </c>
      <c r="B414" s="258">
        <v>1026.0</v>
      </c>
      <c r="C414" s="260">
        <v>423.0</v>
      </c>
      <c r="D414" s="260">
        <f>IFERROR(__xludf.DUMMYFUNCTION("if(B414&lt;=999,if(B414&lt;=99,IF(B414&lt;=9,join(,""000"",B414),join(,""00"",B414)),join(,""0"",B414)),B414)"),1026.0)</f>
        <v>1026</v>
      </c>
      <c r="E414" s="262" t="s">
        <v>1002</v>
      </c>
      <c r="F414" s="263" t="str">
        <f>vlookup(B414,'Geotagging Master All-Training '!$A$2:$C$2474,2,false)</f>
        <v>#N/A</v>
      </c>
      <c r="G414" s="263" t="str">
        <f>vlookup(B414,'Geotagging Master All-Training '!$A$2:$C$2474,3,false)</f>
        <v>#N/A</v>
      </c>
      <c r="H414" s="265" t="s">
        <v>20</v>
      </c>
      <c r="I414" s="266">
        <v>80.0</v>
      </c>
    </row>
    <row r="415" hidden="1">
      <c r="A415" s="258">
        <v>1296.0</v>
      </c>
      <c r="B415" s="259">
        <v>1296.0</v>
      </c>
      <c r="C415" s="260">
        <v>424.0</v>
      </c>
      <c r="D415" s="260">
        <f>IFERROR(__xludf.DUMMYFUNCTION("if(B415&lt;=999,if(B415&lt;=99,IF(B415&lt;=9,join(,""000"",B415),join(,""00"",B415)),join(,""0"",B415)),B415)"),1296.0)</f>
        <v>1296</v>
      </c>
      <c r="E415" s="262" t="s">
        <v>1003</v>
      </c>
      <c r="F415" s="263" t="str">
        <f>vlookup(B415,'Geotagging Master All-Training '!$A$2:$C$2474,2,false)</f>
        <v>#N/A</v>
      </c>
      <c r="G415" s="263" t="str">
        <f>vlookup(B415,'Geotagging Master All-Training '!$A$2:$C$2474,3,false)</f>
        <v>#N/A</v>
      </c>
      <c r="H415" s="265" t="s">
        <v>20</v>
      </c>
      <c r="I415" s="266">
        <v>25.0</v>
      </c>
    </row>
    <row r="416" hidden="1">
      <c r="A416" s="258">
        <v>1081.0</v>
      </c>
      <c r="B416" s="258">
        <v>1081.0</v>
      </c>
      <c r="C416" s="260">
        <v>425.0</v>
      </c>
      <c r="D416" s="260">
        <f>IFERROR(__xludf.DUMMYFUNCTION("if(B416&lt;=999,if(B416&lt;=99,IF(B416&lt;=9,join(,""000"",B416),join(,""00"",B416)),join(,""0"",B416)),B416)"),1081.0)</f>
        <v>1081</v>
      </c>
      <c r="E416" s="270" t="s">
        <v>1006</v>
      </c>
      <c r="F416" s="263" t="str">
        <f>vlookup(B416,'Geotagging Master All-Training '!$A$2:$C$2474,2,false)</f>
        <v>#N/A</v>
      </c>
      <c r="G416" s="263" t="str">
        <f>vlookup(B416,'Geotagging Master All-Training '!$A$2:$C$2474,3,false)</f>
        <v>#N/A</v>
      </c>
      <c r="H416" s="265" t="s">
        <v>20</v>
      </c>
      <c r="I416" s="266">
        <v>1025.0</v>
      </c>
    </row>
    <row r="417" hidden="1">
      <c r="A417" s="258">
        <v>1203.0</v>
      </c>
      <c r="B417" s="258">
        <v>1203.0</v>
      </c>
      <c r="C417" s="260">
        <v>426.0</v>
      </c>
      <c r="D417" s="260">
        <f>IFERROR(__xludf.DUMMYFUNCTION("if(B417&lt;=999,if(B417&lt;=99,IF(B417&lt;=9,join(,""000"",B417),join(,""00"",B417)),join(,""0"",B417)),B417)"),1203.0)</f>
        <v>1203</v>
      </c>
      <c r="E417" s="262" t="s">
        <v>1008</v>
      </c>
      <c r="F417" s="263" t="str">
        <f>vlookup(B417,'Geotagging Master All-Training '!$A$2:$C$2474,2,false)</f>
        <v>#N/A</v>
      </c>
      <c r="G417" s="263" t="str">
        <f>vlookup(B417,'Geotagging Master All-Training '!$A$2:$C$2474,3,false)</f>
        <v>#N/A</v>
      </c>
      <c r="H417" s="265" t="s">
        <v>20</v>
      </c>
      <c r="I417" s="266" t="e">
        <v>#N/A</v>
      </c>
    </row>
    <row r="418" hidden="1">
      <c r="A418" s="258">
        <v>1225.0</v>
      </c>
      <c r="B418" s="259">
        <v>1225.0</v>
      </c>
      <c r="C418" s="260">
        <v>427.0</v>
      </c>
      <c r="D418" s="260">
        <f>IFERROR(__xludf.DUMMYFUNCTION("if(B418&lt;=999,if(B418&lt;=99,IF(B418&lt;=9,join(,""000"",B418),join(,""00"",B418)),join(,""0"",B418)),B418)"),1225.0)</f>
        <v>1225</v>
      </c>
      <c r="E418" s="262" t="s">
        <v>1009</v>
      </c>
      <c r="F418" s="263" t="str">
        <f>vlookup(B418,'Geotagging Master All-Training '!$A$2:$C$2474,2,false)</f>
        <v>#N/A</v>
      </c>
      <c r="G418" s="263" t="str">
        <f>vlookup(B418,'Geotagging Master All-Training '!$A$2:$C$2474,3,false)</f>
        <v>#N/A</v>
      </c>
      <c r="H418" s="265" t="s">
        <v>20</v>
      </c>
      <c r="I418" s="266" t="e">
        <v>#N/A</v>
      </c>
    </row>
    <row r="419" hidden="1">
      <c r="A419" s="258">
        <v>807.0</v>
      </c>
      <c r="B419" s="258">
        <v>807.0</v>
      </c>
      <c r="C419" s="260">
        <v>428.0</v>
      </c>
      <c r="D419" s="260" t="str">
        <f>IFERROR(__xludf.DUMMYFUNCTION("if(B419&lt;=999,if(B419&lt;=99,IF(B419&lt;=9,join(,""000"",B419),join(,""00"",B419)),join(,""0"",B419)),B419)"),"0807")</f>
        <v>0807</v>
      </c>
      <c r="E419" s="262" t="s">
        <v>1010</v>
      </c>
      <c r="F419" s="263" t="str">
        <f>vlookup(B419,'Geotagging Master All-Training '!$A$2:$C$2474,2,false)</f>
        <v>#N/A</v>
      </c>
      <c r="G419" s="263" t="str">
        <f>vlookup(B419,'Geotagging Master All-Training '!$A$2:$C$2474,3,false)</f>
        <v>#N/A</v>
      </c>
      <c r="H419" s="265" t="s">
        <v>20</v>
      </c>
      <c r="I419" s="266" t="s">
        <v>1013</v>
      </c>
    </row>
    <row r="420" hidden="1">
      <c r="A420" s="258">
        <v>345.0</v>
      </c>
      <c r="B420" s="258">
        <v>345.0</v>
      </c>
      <c r="C420" s="260">
        <v>429.0</v>
      </c>
      <c r="D420" s="260" t="str">
        <f>IFERROR(__xludf.DUMMYFUNCTION("if(B420&lt;=999,if(B420&lt;=99,IF(B420&lt;=9,join(,""000"",B420),join(,""00"",B420)),join(,""0"",B420)),B420)"),"0345")</f>
        <v>0345</v>
      </c>
      <c r="E420" s="262" t="s">
        <v>1014</v>
      </c>
      <c r="F420" s="263" t="str">
        <f>vlookup(B420,'Geotagging Master All-Training '!$A$2:$C$2474,2,false)</f>
        <v>#N/A</v>
      </c>
      <c r="G420" s="263" t="str">
        <f>vlookup(B420,'Geotagging Master All-Training '!$A$2:$C$2474,3,false)</f>
        <v>#N/A</v>
      </c>
      <c r="H420" s="265" t="s">
        <v>20</v>
      </c>
      <c r="I420" s="266">
        <v>80.0</v>
      </c>
    </row>
    <row r="421" hidden="1">
      <c r="A421" s="272">
        <v>1181.0</v>
      </c>
      <c r="B421" s="272">
        <v>1181.0</v>
      </c>
      <c r="C421" s="260">
        <v>430.0</v>
      </c>
      <c r="D421" s="273">
        <f>IFERROR(__xludf.DUMMYFUNCTION("if(B421&lt;=999,if(B421&lt;=99,IF(B421&lt;=9,join(,""000"",B421),join(,""00"",B421)),join(,""0"",B421)),B421)"),1181.0)</f>
        <v>1181</v>
      </c>
      <c r="E421" s="274" t="s">
        <v>1016</v>
      </c>
      <c r="F421" s="263" t="str">
        <f>vlookup(B421,'Geotagging Master All-Training '!$A$2:$C$2474,2,false)</f>
        <v>#N/A</v>
      </c>
      <c r="G421" s="263" t="str">
        <f>vlookup(B421,'Geotagging Master All-Training '!$A$2:$C$2474,3,false)</f>
        <v>#N/A</v>
      </c>
      <c r="H421" s="276" t="s">
        <v>20</v>
      </c>
      <c r="I421" s="277">
        <v>4.0</v>
      </c>
    </row>
    <row r="422" hidden="1">
      <c r="A422" s="258">
        <v>1059.0</v>
      </c>
      <c r="B422" s="258">
        <v>1059.0</v>
      </c>
      <c r="C422" s="260">
        <v>431.0</v>
      </c>
      <c r="D422" s="260">
        <f>IFERROR(__xludf.DUMMYFUNCTION("if(B422&lt;=999,if(B422&lt;=99,IF(B422&lt;=9,join(,""000"",B422),join(,""00"",B422)),join(,""0"",B422)),B422)"),1059.0)</f>
        <v>1059</v>
      </c>
      <c r="E422" s="270" t="s">
        <v>1017</v>
      </c>
      <c r="F422" s="263" t="str">
        <f>vlookup(B422,'Geotagging Master All-Training '!$A$2:$C$2474,2,false)</f>
        <v>#N/A</v>
      </c>
      <c r="G422" s="263" t="str">
        <f>vlookup(B422,'Geotagging Master All-Training '!$A$2:$C$2474,3,false)</f>
        <v>#N/A</v>
      </c>
      <c r="H422" s="265" t="s">
        <v>20</v>
      </c>
      <c r="I422" s="266"/>
    </row>
    <row r="423" hidden="1">
      <c r="A423" s="258">
        <v>979.0</v>
      </c>
      <c r="B423" s="259">
        <v>979.0</v>
      </c>
      <c r="C423" s="260">
        <v>432.0</v>
      </c>
      <c r="D423" s="260" t="str">
        <f>IFERROR(__xludf.DUMMYFUNCTION("if(B423&lt;=999,if(B423&lt;=99,IF(B423&lt;=9,join(,""000"",B423),join(,""00"",B423)),join(,""0"",B423)),B423)"),"0979")</f>
        <v>0979</v>
      </c>
      <c r="E423" s="270" t="s">
        <v>1019</v>
      </c>
      <c r="F423" s="263" t="str">
        <f>vlookup(B423,'Geotagging Master All-Training '!$A$2:$C$2474,2,false)</f>
        <v>#N/A</v>
      </c>
      <c r="G423" s="263" t="str">
        <f>vlookup(B423,'Geotagging Master All-Training '!$A$2:$C$2474,3,false)</f>
        <v>#N/A</v>
      </c>
      <c r="H423" s="265" t="s">
        <v>20</v>
      </c>
      <c r="I423" s="266"/>
    </row>
    <row r="424" hidden="1">
      <c r="A424" s="258">
        <v>1080.0</v>
      </c>
      <c r="B424" s="258">
        <v>1080.0</v>
      </c>
      <c r="C424" s="260">
        <v>433.0</v>
      </c>
      <c r="D424" s="261">
        <f>IFERROR(__xludf.DUMMYFUNCTION("if(B424&lt;=999,if(B424&lt;=99,IF(B424&lt;=9,join(,""000"",B424),join(,""00"",B424)),join(,""0"",B424)),B424)"),1080.0)</f>
        <v>1080</v>
      </c>
      <c r="E424" s="270" t="s">
        <v>1020</v>
      </c>
      <c r="F424" s="263" t="str">
        <f>vlookup(B424,'Geotagging Master All-Training '!$A$2:$C$2474,2,false)</f>
        <v>#N/A</v>
      </c>
      <c r="G424" s="263" t="str">
        <f>vlookup(B424,'Geotagging Master All-Training '!$A$2:$C$2474,3,false)</f>
        <v>#N/A</v>
      </c>
      <c r="H424" s="265" t="s">
        <v>20</v>
      </c>
      <c r="I424" s="266"/>
    </row>
    <row r="425" hidden="1">
      <c r="A425" s="258">
        <v>31.0</v>
      </c>
      <c r="B425" s="258">
        <v>31.0</v>
      </c>
      <c r="C425" s="260">
        <v>434.0</v>
      </c>
      <c r="D425" s="261" t="str">
        <f>IFERROR(__xludf.DUMMYFUNCTION("if(B425&lt;=999,if(B425&lt;=99,IF(B425&lt;=9,join(,""000"",B425),join(,""00"",B425)),join(,""0"",B425)),B425)"),"0031")</f>
        <v>0031</v>
      </c>
      <c r="E425" s="270" t="s">
        <v>267</v>
      </c>
      <c r="F425" s="263" t="str">
        <f>vlookup(B425,'Geotagging Master All-Training '!$A$2:$C$2474,2,false)</f>
        <v>#N/A</v>
      </c>
      <c r="G425" s="263" t="str">
        <f>vlookup(B425,'Geotagging Master All-Training '!$A$2:$C$2474,3,false)</f>
        <v>#N/A</v>
      </c>
      <c r="H425" s="265" t="s">
        <v>20</v>
      </c>
      <c r="I425" s="266" t="s">
        <v>266</v>
      </c>
    </row>
    <row r="426" hidden="1">
      <c r="A426" s="258">
        <v>1318.0</v>
      </c>
      <c r="B426" s="258">
        <v>1318.0</v>
      </c>
      <c r="C426" s="260">
        <v>435.0</v>
      </c>
      <c r="D426" s="260">
        <f>IFERROR(__xludf.DUMMYFUNCTION("if(B426&lt;=999,if(B426&lt;=99,IF(B426&lt;=9,join(,""000"",B426),join(,""00"",B426)),join(,""0"",B426)),B426)"),1318.0)</f>
        <v>1318</v>
      </c>
      <c r="E426" s="270" t="s">
        <v>1024</v>
      </c>
      <c r="F426" s="263" t="str">
        <f>vlookup(B426,'Geotagging Master All-Training '!$A$2:$C$2474,2,false)</f>
        <v>#N/A</v>
      </c>
      <c r="G426" s="263" t="str">
        <f>vlookup(B426,'Geotagging Master All-Training '!$A$2:$C$2474,3,false)</f>
        <v>#N/A</v>
      </c>
      <c r="H426" s="265" t="s">
        <v>20</v>
      </c>
      <c r="I426" s="266">
        <v>25001.0</v>
      </c>
    </row>
    <row r="427" hidden="1">
      <c r="A427" s="258">
        <v>1071.0</v>
      </c>
      <c r="B427" s="258">
        <v>1071.0</v>
      </c>
      <c r="C427" s="260">
        <v>436.0</v>
      </c>
      <c r="D427" s="260">
        <f>IFERROR(__xludf.DUMMYFUNCTION("if(B427&lt;=999,if(B427&lt;=99,IF(B427&lt;=9,join(,""000"",B427),join(,""00"",B427)),join(,""0"",B427)),B427)"),1071.0)</f>
        <v>1071</v>
      </c>
      <c r="E427" s="270" t="s">
        <v>1025</v>
      </c>
      <c r="F427" s="263" t="str">
        <f>vlookup(B427,'Geotagging Master All-Training '!$A$2:$C$2474,2,false)</f>
        <v>#N/A</v>
      </c>
      <c r="G427" s="263" t="str">
        <f>vlookup(B427,'Geotagging Master All-Training '!$A$2:$C$2474,3,false)</f>
        <v>#N/A</v>
      </c>
      <c r="H427" s="265" t="s">
        <v>20</v>
      </c>
      <c r="I427" s="266" t="s">
        <v>1026</v>
      </c>
    </row>
    <row r="428" hidden="1">
      <c r="A428" s="258">
        <v>239.0</v>
      </c>
      <c r="B428" s="259">
        <v>239.0</v>
      </c>
      <c r="C428" s="260">
        <v>437.0</v>
      </c>
      <c r="D428" s="273" t="str">
        <f>IFERROR(__xludf.DUMMYFUNCTION("if(B432&lt;=999,if(B432&lt;=99,IF(B432&lt;=9,join(,""000"",B432),join(,""00"",B432)),join(,""0"",B432)),B432)"),"0739")</f>
        <v>0739</v>
      </c>
      <c r="E428" s="270" t="s">
        <v>1027</v>
      </c>
      <c r="F428" s="263" t="str">
        <f>vlookup(B428,'Geotagging Master All-Training '!$A$2:$C$2474,2,false)</f>
        <v>#N/A</v>
      </c>
      <c r="G428" s="263" t="str">
        <f>vlookup(B428,'Geotagging Master All-Training '!$A$2:$C$2474,3,false)</f>
        <v>#N/A</v>
      </c>
      <c r="H428" s="265" t="s">
        <v>20</v>
      </c>
      <c r="I428" s="266">
        <v>8080.0</v>
      </c>
    </row>
    <row r="429" hidden="1">
      <c r="A429" s="258">
        <v>1252.0</v>
      </c>
      <c r="B429" s="259">
        <v>1252.0</v>
      </c>
      <c r="C429" s="260">
        <v>438.0</v>
      </c>
      <c r="D429" s="260">
        <f>IFERROR(__xludf.DUMMYFUNCTION("if(B429&lt;=999,if(B429&lt;=99,IF(B429&lt;=9,join(,""000"",B429),join(,""00"",B429)),join(,""0"",B429)),B429)"),1252.0)</f>
        <v>1252</v>
      </c>
      <c r="E429" s="262" t="s">
        <v>1028</v>
      </c>
      <c r="F429" s="263" t="str">
        <f>vlookup(B429,'Geotagging Master All-Training '!$A$2:$C$2474,2,false)</f>
        <v>#N/A</v>
      </c>
      <c r="G429" s="263" t="str">
        <f>vlookup(B429,'Geotagging Master All-Training '!$A$2:$C$2474,3,false)</f>
        <v>#N/A</v>
      </c>
      <c r="H429" s="265" t="s">
        <v>20</v>
      </c>
      <c r="I429" s="266" t="s">
        <v>1029</v>
      </c>
    </row>
    <row r="430" ht="15.75" hidden="1" customHeight="1">
      <c r="A430" s="258">
        <v>1216.0</v>
      </c>
      <c r="B430" s="258">
        <v>1216.0</v>
      </c>
      <c r="C430" s="260">
        <v>439.0</v>
      </c>
      <c r="D430" s="260">
        <f>IFERROR(__xludf.DUMMYFUNCTION("if(B430&lt;=999,if(B430&lt;=99,IF(B430&lt;=9,join(,""000"",B430),join(,""00"",B430)),join(,""0"",B430)),B430)"),1216.0)</f>
        <v>1216</v>
      </c>
      <c r="E430" s="262" t="s">
        <v>1031</v>
      </c>
      <c r="F430" s="263" t="str">
        <f>vlookup(B430,'Geotagging Master All-Training '!$A$2:$C$2474,2,false)</f>
        <v>#N/A</v>
      </c>
      <c r="G430" s="263" t="str">
        <f>vlookup(B430,'Geotagging Master All-Training '!$A$2:$C$2474,3,false)</f>
        <v>#N/A</v>
      </c>
      <c r="H430" s="265" t="s">
        <v>20</v>
      </c>
      <c r="I430" s="266" t="e">
        <v>#N/A</v>
      </c>
    </row>
    <row r="431" hidden="1">
      <c r="A431" s="258">
        <v>1406.0</v>
      </c>
      <c r="B431" s="259">
        <v>1406.0</v>
      </c>
      <c r="C431" s="260">
        <v>440.0</v>
      </c>
      <c r="D431" s="260">
        <f>IFERROR(__xludf.DUMMYFUNCTION("if(B431&lt;=999,if(B431&lt;=99,IF(B431&lt;=9,join(,""000"",B431),join(,""00"",B431)),join(,""0"",B431)),B431)"),1406.0)</f>
        <v>1406</v>
      </c>
      <c r="E431" s="270" t="s">
        <v>1033</v>
      </c>
      <c r="F431" s="263" t="str">
        <f>vlookup(B431,'Geotagging Master All-Training '!$A$2:$C$2474,2,false)</f>
        <v>#N/A</v>
      </c>
      <c r="G431" s="263" t="str">
        <f>vlookup(B431,'Geotagging Master All-Training '!$A$2:$C$2474,3,false)</f>
        <v>#N/A</v>
      </c>
      <c r="H431" s="265" t="s">
        <v>20</v>
      </c>
      <c r="I431" s="266" t="e">
        <v>#N/A</v>
      </c>
    </row>
    <row r="432" hidden="1">
      <c r="A432" s="272">
        <v>739.0</v>
      </c>
      <c r="B432" s="272">
        <v>739.0</v>
      </c>
      <c r="C432" s="260">
        <v>441.0</v>
      </c>
      <c r="D432" s="318">
        <v>739.0</v>
      </c>
      <c r="E432" s="304" t="s">
        <v>1034</v>
      </c>
      <c r="F432" s="263" t="str">
        <f>vlookup(B432,'Geotagging Master All-Training '!$A$2:$C$2474,2,false)</f>
        <v>#N/A</v>
      </c>
      <c r="G432" s="263" t="str">
        <f>vlookup(B432,'Geotagging Master All-Training '!$A$2:$C$2474,3,false)</f>
        <v>#N/A</v>
      </c>
      <c r="H432" s="276" t="s">
        <v>20</v>
      </c>
      <c r="I432" s="277" t="s">
        <v>1037</v>
      </c>
    </row>
    <row r="433" hidden="1">
      <c r="A433" s="258">
        <v>119.0</v>
      </c>
      <c r="B433" s="258">
        <v>119.0</v>
      </c>
      <c r="C433" s="260">
        <v>442.0</v>
      </c>
      <c r="D433" s="260" t="str">
        <f>IFERROR(__xludf.DUMMYFUNCTION("if(B433&lt;=999,if(B433&lt;=99,IF(B433&lt;=9,join(,""000"",B433),join(,""00"",B433)),join(,""0"",B433)),B433)"),"0119")</f>
        <v>0119</v>
      </c>
      <c r="E433" s="262" t="s">
        <v>1039</v>
      </c>
      <c r="F433" s="263" t="str">
        <f>vlookup(B433,'Geotagging Master All-Training '!$A$2:$C$2474,2,false)</f>
        <v>#N/A</v>
      </c>
      <c r="G433" s="263" t="str">
        <f>vlookup(B433,'Geotagging Master All-Training '!$A$2:$C$2474,3,false)</f>
        <v>#N/A</v>
      </c>
      <c r="H433" s="265" t="s">
        <v>20</v>
      </c>
      <c r="I433" s="266">
        <v>81.0</v>
      </c>
    </row>
    <row r="434" hidden="1">
      <c r="A434" s="258">
        <v>87.0</v>
      </c>
      <c r="B434" s="258">
        <v>87.0</v>
      </c>
      <c r="C434" s="260">
        <v>443.0</v>
      </c>
      <c r="D434" s="260" t="str">
        <f>IFERROR(__xludf.DUMMYFUNCTION("if(B434&lt;=999,if(B434&lt;=99,IF(B434&lt;=9,join(,""000"",B434),join(,""00"",B434)),join(,""0"",B434)),B434)"),"0087")</f>
        <v>0087</v>
      </c>
      <c r="E434" s="262" t="s">
        <v>1042</v>
      </c>
      <c r="F434" s="263" t="str">
        <f>vlookup(B434,'Geotagging Master All-Training '!$A$2:$C$2474,2,false)</f>
        <v>#N/A</v>
      </c>
      <c r="G434" s="263" t="str">
        <f>vlookup(B434,'Geotagging Master All-Training '!$A$2:$C$2474,3,false)</f>
        <v>#N/A</v>
      </c>
      <c r="H434" s="265" t="s">
        <v>20</v>
      </c>
      <c r="I434" s="266">
        <v>81.0</v>
      </c>
    </row>
    <row r="435" hidden="1">
      <c r="A435" s="258">
        <v>1280.0</v>
      </c>
      <c r="B435" s="258">
        <v>1280.0</v>
      </c>
      <c r="C435" s="260">
        <v>444.0</v>
      </c>
      <c r="D435" s="260">
        <f>IFERROR(__xludf.DUMMYFUNCTION("if(B435&lt;=999,if(B435&lt;=99,IF(B435&lt;=9,join(,""000"",B435),join(,""00"",B435)),join(,""0"",B435)),B435)"),1280.0)</f>
        <v>1280</v>
      </c>
      <c r="E435" s="270" t="s">
        <v>1043</v>
      </c>
      <c r="F435" s="263" t="str">
        <f>vlookup(B435,'Geotagging Master All-Training '!$A$2:$C$2474,2,false)</f>
        <v>#N/A</v>
      </c>
      <c r="G435" s="263" t="str">
        <f>vlookup(B435,'Geotagging Master All-Training '!$A$2:$C$2474,3,false)</f>
        <v>#N/A</v>
      </c>
      <c r="H435" s="265" t="s">
        <v>20</v>
      </c>
      <c r="I435" s="266" t="s">
        <v>244</v>
      </c>
    </row>
    <row r="436" hidden="1">
      <c r="A436" s="258">
        <v>251.0</v>
      </c>
      <c r="B436" s="258">
        <v>251.0</v>
      </c>
      <c r="C436" s="260">
        <v>445.0</v>
      </c>
      <c r="D436" s="260" t="str">
        <f>IFERROR(__xludf.DUMMYFUNCTION("if(B436&lt;=999,if(B436&lt;=99,IF(B436&lt;=9,join(,""000"",B436),join(,""00"",B436)),join(,""0"",B436)),B436)"),"0251")</f>
        <v>0251</v>
      </c>
      <c r="E436" s="270" t="s">
        <v>1044</v>
      </c>
      <c r="F436" s="263" t="str">
        <f>vlookup(B436,'Geotagging Master All-Training '!$A$2:$C$2474,2,false)</f>
        <v>#N/A</v>
      </c>
      <c r="G436" s="263" t="str">
        <f>vlookup(B436,'Geotagging Master All-Training '!$A$2:$C$2474,3,false)</f>
        <v>#N/A</v>
      </c>
      <c r="H436" s="265" t="s">
        <v>20</v>
      </c>
      <c r="I436" s="266" t="e">
        <v>#N/A</v>
      </c>
    </row>
    <row r="437" hidden="1">
      <c r="A437" s="258">
        <v>1197.0</v>
      </c>
      <c r="B437" s="258">
        <v>1197.0</v>
      </c>
      <c r="C437" s="260">
        <v>446.0</v>
      </c>
      <c r="D437" s="260">
        <f>IFERROR(__xludf.DUMMYFUNCTION("if(B437&lt;=999,if(B437&lt;=99,IF(B437&lt;=9,join(,""000"",B437),join(,""00"",B437)),join(,""0"",B437)),B437)"),1197.0)</f>
        <v>1197</v>
      </c>
      <c r="E437" s="270" t="s">
        <v>1045</v>
      </c>
      <c r="F437" s="263" t="str">
        <f>vlookup(B437,'Geotagging Master All-Training '!$A$2:$C$2474,2,false)</f>
        <v>#N/A</v>
      </c>
      <c r="G437" s="263" t="str">
        <f>vlookup(B437,'Geotagging Master All-Training '!$A$2:$C$2474,3,false)</f>
        <v>#N/A</v>
      </c>
      <c r="H437" s="265" t="s">
        <v>20</v>
      </c>
      <c r="I437" s="266" t="s">
        <v>1046</v>
      </c>
    </row>
    <row r="438" hidden="1">
      <c r="A438" s="258">
        <v>518.0</v>
      </c>
      <c r="B438" s="258">
        <v>518.0</v>
      </c>
      <c r="C438" s="260">
        <v>449.0</v>
      </c>
      <c r="D438" s="260" t="str">
        <f>IFERROR(__xludf.DUMMYFUNCTION("if(B438&lt;=999,if(B438&lt;=99,IF(B438&lt;=9,join(,""000"",B438),join(,""00"",B438)),join(,""0"",B438)),B438)"),"0518")</f>
        <v>0518</v>
      </c>
      <c r="E438" s="270" t="s">
        <v>1052</v>
      </c>
      <c r="F438" s="263" t="str">
        <f>vlookup(B438,'Geotagging Master All-Training '!$A$2:$C$2474,2,false)</f>
        <v>#N/A</v>
      </c>
      <c r="G438" s="263" t="str">
        <f>vlookup(B438,'Geotagging Master All-Training '!$A$2:$C$2474,3,false)</f>
        <v>#N/A</v>
      </c>
      <c r="H438" s="265" t="s">
        <v>20</v>
      </c>
      <c r="I438" s="266">
        <v>32.0</v>
      </c>
    </row>
    <row r="439" hidden="1">
      <c r="A439" s="258">
        <v>338.0</v>
      </c>
      <c r="B439" s="258">
        <v>338.0</v>
      </c>
      <c r="C439" s="260">
        <v>450.0</v>
      </c>
      <c r="D439" s="260" t="str">
        <f>IFERROR(__xludf.DUMMYFUNCTION("if(B439&lt;=999,if(B439&lt;=99,IF(B439&lt;=9,join(,""000"",B439),join(,""00"",B439)),join(,""0"",B439)),B439)"),"0338")</f>
        <v>0338</v>
      </c>
      <c r="E439" s="262" t="s">
        <v>1053</v>
      </c>
      <c r="F439" s="263" t="str">
        <f>vlookup(B439,'Geotagging Master All-Training '!$A$2:$C$2474,2,false)</f>
        <v>#N/A</v>
      </c>
      <c r="G439" s="263" t="str">
        <f>vlookup(B439,'Geotagging Master All-Training '!$A$2:$C$2474,3,false)</f>
        <v>#N/A</v>
      </c>
      <c r="H439" s="265" t="s">
        <v>20</v>
      </c>
      <c r="I439" s="266" t="s">
        <v>684</v>
      </c>
    </row>
    <row r="440" hidden="1">
      <c r="A440" s="258">
        <v>1374.0</v>
      </c>
      <c r="B440" s="258">
        <v>1374.0</v>
      </c>
      <c r="C440" s="260">
        <v>451.0</v>
      </c>
      <c r="D440" s="260">
        <f>IFERROR(__xludf.DUMMYFUNCTION("if(B440&lt;=999,if(B440&lt;=99,IF(B440&lt;=9,join(,""000"",B440),join(,""00"",B440)),join(,""0"",B440)),B440)"),1374.0)</f>
        <v>1374</v>
      </c>
      <c r="E440" s="262" t="s">
        <v>1055</v>
      </c>
      <c r="F440" s="263" t="str">
        <f>vlookup(B440,'Geotagging Master All-Training '!$A$2:$C$2474,2,false)</f>
        <v>#N/A</v>
      </c>
      <c r="G440" s="263" t="str">
        <f>vlookup(B440,'Geotagging Master All-Training '!$A$2:$C$2474,3,false)</f>
        <v>#N/A</v>
      </c>
      <c r="H440" s="265" t="s">
        <v>20</v>
      </c>
      <c r="I440" s="266" t="e">
        <v>#N/A</v>
      </c>
    </row>
    <row r="441" hidden="1">
      <c r="A441" s="258">
        <v>1286.0</v>
      </c>
      <c r="B441" s="258">
        <v>1286.0</v>
      </c>
      <c r="C441" s="260">
        <v>452.0</v>
      </c>
      <c r="D441" s="260">
        <f>IFERROR(__xludf.DUMMYFUNCTION("if(B441&lt;=999,if(B441&lt;=99,IF(B441&lt;=9,join(,""000"",B441),join(,""00"",B441)),join(,""0"",B441)),B441)"),1286.0)</f>
        <v>1286</v>
      </c>
      <c r="E441" s="262" t="s">
        <v>1057</v>
      </c>
      <c r="F441" s="263" t="str">
        <f>vlookup(B441,'Geotagging Master All-Training '!$A$2:$C$2474,2,false)</f>
        <v>#N/A</v>
      </c>
      <c r="G441" s="263" t="str">
        <f>vlookup(B441,'Geotagging Master All-Training '!$A$2:$C$2474,3,false)</f>
        <v>#N/A</v>
      </c>
      <c r="H441" s="265" t="s">
        <v>20</v>
      </c>
      <c r="I441" s="266">
        <v>29.0</v>
      </c>
    </row>
    <row r="442" hidden="1">
      <c r="A442" s="258">
        <v>1399.0</v>
      </c>
      <c r="B442" s="259">
        <v>1399.0</v>
      </c>
      <c r="C442" s="260">
        <v>453.0</v>
      </c>
      <c r="D442" s="260">
        <f>IFERROR(__xludf.DUMMYFUNCTION("if(B442&lt;=999,if(B442&lt;=99,IF(B442&lt;=9,join(,""000"",B442),join(,""00"",B442)),join(,""0"",B442)),B442)"),1399.0)</f>
        <v>1399</v>
      </c>
      <c r="E442" s="270" t="s">
        <v>494</v>
      </c>
      <c r="F442" s="263" t="str">
        <f>vlookup(B442,'Geotagging Master All-Training '!$A$2:$C$2474,2,false)</f>
        <v>#N/A</v>
      </c>
      <c r="G442" s="263" t="str">
        <f>vlookup(B442,'Geotagging Master All-Training '!$A$2:$C$2474,3,false)</f>
        <v>#N/A</v>
      </c>
      <c r="H442" s="265" t="s">
        <v>20</v>
      </c>
      <c r="I442" s="266">
        <v>5005.0</v>
      </c>
    </row>
    <row r="443" hidden="1">
      <c r="A443" s="258">
        <v>1153.0</v>
      </c>
      <c r="B443" s="258">
        <v>1153.0</v>
      </c>
      <c r="C443" s="260">
        <v>454.0</v>
      </c>
      <c r="D443" s="260">
        <f>IFERROR(__xludf.DUMMYFUNCTION("if(B443&lt;=999,if(B443&lt;=99,IF(B443&lt;=9,join(,""000"",B443),join(,""00"",B443)),join(,""0"",B443)),B443)"),1153.0)</f>
        <v>1153</v>
      </c>
      <c r="E443" s="270" t="s">
        <v>1059</v>
      </c>
      <c r="F443" s="263" t="str">
        <f>vlookup(B443,'Geotagging Master All-Training '!$A$2:$C$2474,2,false)</f>
        <v>#N/A</v>
      </c>
      <c r="G443" s="263" t="str">
        <f>vlookup(B443,'Geotagging Master All-Training '!$A$2:$C$2474,3,false)</f>
        <v>#N/A</v>
      </c>
      <c r="H443" s="265" t="s">
        <v>20</v>
      </c>
      <c r="I443" s="266">
        <v>16.0</v>
      </c>
    </row>
    <row r="444" hidden="1">
      <c r="A444" s="272">
        <v>1371.0</v>
      </c>
      <c r="B444" s="272">
        <v>1371.0</v>
      </c>
      <c r="C444" s="260">
        <v>456.0</v>
      </c>
      <c r="D444" s="273">
        <f>IFERROR(__xludf.DUMMYFUNCTION("if(B444&lt;=999,if(B444&lt;=99,IF(B444&lt;=9,join(,""000"",B444),join(,""00"",B444)),join(,""0"",B444)),B444)"),1371.0)</f>
        <v>1371</v>
      </c>
      <c r="E444" s="274" t="s">
        <v>1061</v>
      </c>
      <c r="F444" s="263" t="str">
        <f>vlookup(B444,'Geotagging Master All-Training '!$A$2:$C$2474,2,false)</f>
        <v>#N/A</v>
      </c>
      <c r="G444" s="263" t="str">
        <f>vlookup(B444,'Geotagging Master All-Training '!$A$2:$C$2474,3,false)</f>
        <v>#N/A</v>
      </c>
      <c r="H444" s="276" t="s">
        <v>20</v>
      </c>
      <c r="I444" s="277">
        <v>32.0</v>
      </c>
    </row>
    <row r="445" hidden="1">
      <c r="A445" s="258">
        <v>1325.0</v>
      </c>
      <c r="B445" s="258">
        <v>1325.0</v>
      </c>
      <c r="C445" s="260">
        <v>457.0</v>
      </c>
      <c r="D445" s="260">
        <f>IFERROR(__xludf.DUMMYFUNCTION("if(B445&lt;=999,if(B445&lt;=99,IF(B445&lt;=9,join(,""000"",B445),join(,""00"",B445)),join(,""0"",B445)),B445)"),1325.0)</f>
        <v>1325</v>
      </c>
      <c r="E445" s="270" t="s">
        <v>1064</v>
      </c>
      <c r="F445" s="263" t="str">
        <f>vlookup(B445,'Geotagging Master All-Training '!$A$2:$C$2474,2,false)</f>
        <v>#N/A</v>
      </c>
      <c r="G445" s="263" t="str">
        <f>vlookup(B445,'Geotagging Master All-Training '!$A$2:$C$2474,3,false)</f>
        <v>#N/A</v>
      </c>
      <c r="H445" s="265" t="s">
        <v>20</v>
      </c>
      <c r="I445" s="266" t="e">
        <v>#N/A</v>
      </c>
    </row>
    <row r="446" hidden="1">
      <c r="A446" s="258">
        <v>1027.0</v>
      </c>
      <c r="B446" s="258">
        <v>1027.0</v>
      </c>
      <c r="C446" s="260">
        <v>458.0</v>
      </c>
      <c r="D446" s="260">
        <f>IFERROR(__xludf.DUMMYFUNCTION("if(B446&lt;=999,if(B446&lt;=99,IF(B446&lt;=9,join(,""000"",B446),join(,""00"",B446)),join(,""0"",B446)),B446)"),1027.0)</f>
        <v>1027</v>
      </c>
      <c r="E446" s="270" t="s">
        <v>1066</v>
      </c>
      <c r="F446" s="263" t="str">
        <f>vlookup(B446,'Geotagging Master All-Training '!$A$2:$C$2474,2,false)</f>
        <v>#N/A</v>
      </c>
      <c r="G446" s="263" t="str">
        <f>vlookup(B446,'Geotagging Master All-Training '!$A$2:$C$2474,3,false)</f>
        <v>#N/A</v>
      </c>
      <c r="H446" s="319" t="s">
        <v>20</v>
      </c>
      <c r="I446" s="320"/>
    </row>
    <row r="447" hidden="1">
      <c r="A447" s="258">
        <v>531.0</v>
      </c>
      <c r="B447" s="258">
        <v>531.0</v>
      </c>
      <c r="C447" s="260">
        <v>459.0</v>
      </c>
      <c r="D447" s="260" t="str">
        <f>IFERROR(__xludf.DUMMYFUNCTION("if(B447&lt;=999,if(B447&lt;=99,IF(B447&lt;=9,join(,""000"",B447),join(,""00"",B447)),join(,""0"",B447)),B447)"),"0531")</f>
        <v>0531</v>
      </c>
      <c r="E447" s="270" t="s">
        <v>1067</v>
      </c>
      <c r="F447" s="263" t="str">
        <f>vlookup(B447,'Geotagging Master All-Training '!$A$2:$C$2474,2,false)</f>
        <v>#N/A</v>
      </c>
      <c r="G447" s="263" t="str">
        <f>vlookup(B447,'Geotagging Master All-Training '!$A$2:$C$2474,3,false)</f>
        <v>#N/A</v>
      </c>
      <c r="H447" s="265" t="s">
        <v>20</v>
      </c>
      <c r="I447" s="266">
        <v>8.0812374E7</v>
      </c>
    </row>
    <row r="448" hidden="1">
      <c r="A448" s="258">
        <v>674.0</v>
      </c>
      <c r="B448" s="258">
        <v>674.0</v>
      </c>
      <c r="C448" s="260">
        <v>460.0</v>
      </c>
      <c r="D448" s="260" t="str">
        <f>IFERROR(__xludf.DUMMYFUNCTION("if(B448&lt;=999,if(B448&lt;=99,IF(B448&lt;=9,join(,""000"",B448),join(,""00"",B448)),join(,""0"",B448)),B448)"),"0674")</f>
        <v>0674</v>
      </c>
      <c r="E448" s="270" t="s">
        <v>1068</v>
      </c>
      <c r="F448" s="263" t="str">
        <f>vlookup(B448,'Geotagging Master All-Training '!$A$2:$C$2474,2,false)</f>
        <v>#N/A</v>
      </c>
      <c r="G448" s="263" t="str">
        <f>vlookup(B448,'Geotagging Master All-Training '!$A$2:$C$2474,3,false)</f>
        <v>#N/A</v>
      </c>
      <c r="H448" s="265" t="s">
        <v>20</v>
      </c>
      <c r="I448" s="266" t="s">
        <v>717</v>
      </c>
    </row>
    <row r="449" hidden="1">
      <c r="A449" s="258">
        <v>1117.0</v>
      </c>
      <c r="B449" s="258">
        <v>1117.0</v>
      </c>
      <c r="C449" s="260">
        <v>461.0</v>
      </c>
      <c r="D449" s="260">
        <f>IFERROR(__xludf.DUMMYFUNCTION("if(B449&lt;=999,if(B449&lt;=99,IF(B449&lt;=9,join(,""000"",B449),join(,""00"",B449)),join(,""0"",B449)),B449)"),1117.0)</f>
        <v>1117</v>
      </c>
      <c r="E449" s="270" t="s">
        <v>1069</v>
      </c>
      <c r="F449" s="263" t="str">
        <f>vlookup(B449,'Geotagging Master All-Training '!$A$2:$C$2474,2,false)</f>
        <v>#N/A</v>
      </c>
      <c r="G449" s="263" t="str">
        <f>vlookup(B449,'Geotagging Master All-Training '!$A$2:$C$2474,3,false)</f>
        <v>#N/A</v>
      </c>
      <c r="H449" s="265" t="s">
        <v>20</v>
      </c>
      <c r="I449" s="266" t="s">
        <v>1013</v>
      </c>
    </row>
    <row r="450" hidden="1">
      <c r="A450" s="258">
        <v>828.0</v>
      </c>
      <c r="B450" s="258">
        <v>828.0</v>
      </c>
      <c r="C450" s="260">
        <v>462.0</v>
      </c>
      <c r="D450" s="260" t="str">
        <f>IFERROR(__xludf.DUMMYFUNCTION("if(B450&lt;=999,if(B450&lt;=99,IF(B450&lt;=9,join(,""000"",B450),join(,""00"",B450)),join(,""0"",B450)),B450)"),"0828")</f>
        <v>0828</v>
      </c>
      <c r="E450" s="270" t="s">
        <v>1070</v>
      </c>
      <c r="F450" s="263" t="str">
        <f>vlookup(B450,'Geotagging Master All-Training '!$A$2:$C$2474,2,false)</f>
        <v>#N/A</v>
      </c>
      <c r="G450" s="263" t="str">
        <f>vlookup(B450,'Geotagging Master All-Training '!$A$2:$C$2474,3,false)</f>
        <v>#N/A</v>
      </c>
      <c r="H450" s="265" t="s">
        <v>20</v>
      </c>
      <c r="I450" s="266" t="s">
        <v>717</v>
      </c>
    </row>
    <row r="451" hidden="1">
      <c r="A451" s="258">
        <v>52.0</v>
      </c>
      <c r="B451" s="259">
        <v>52.0</v>
      </c>
      <c r="C451" s="260">
        <v>463.0</v>
      </c>
      <c r="D451" s="260" t="str">
        <f>IFERROR(__xludf.DUMMYFUNCTION("if(B451&lt;=999,if(B451&lt;=99,IF(B451&lt;=9,join(,""000"",B451),join(,""00"",B451)),join(,""0"",B451)),B451)"),"0052")</f>
        <v>0052</v>
      </c>
      <c r="E451" s="270" t="s">
        <v>1071</v>
      </c>
      <c r="F451" s="263" t="str">
        <f>vlookup(B451,'Geotagging Master All-Training '!$A$2:$C$2474,2,false)</f>
        <v>#N/A</v>
      </c>
      <c r="G451" s="263" t="str">
        <f>vlookup(B451,'Geotagging Master All-Training '!$A$2:$C$2474,3,false)</f>
        <v>#N/A</v>
      </c>
      <c r="H451" s="265" t="s">
        <v>20</v>
      </c>
      <c r="I451" s="266" t="e">
        <v>#N/A</v>
      </c>
    </row>
    <row r="452" hidden="1">
      <c r="A452" s="258">
        <v>33.0</v>
      </c>
      <c r="B452" s="258">
        <v>33.0</v>
      </c>
      <c r="C452" s="260">
        <v>464.0</v>
      </c>
      <c r="D452" s="260" t="str">
        <f>IFERROR(__xludf.DUMMYFUNCTION("if(B452&lt;=999,if(B452&lt;=99,IF(B452&lt;=9,join(,""000"",B452),join(,""00"",B452)),join(,""0"",B452)),B452)"),"0033")</f>
        <v>0033</v>
      </c>
      <c r="E452" s="270" t="s">
        <v>1072</v>
      </c>
      <c r="F452" s="263" t="str">
        <f>vlookup(B452,'Geotagging Master All-Training '!$A$2:$C$2474,2,false)</f>
        <v>#N/A</v>
      </c>
      <c r="G452" s="263" t="str">
        <f>vlookup(B452,'Geotagging Master All-Training '!$A$2:$C$2474,3,false)</f>
        <v>#N/A</v>
      </c>
      <c r="H452" s="265" t="s">
        <v>20</v>
      </c>
      <c r="I452" s="266" t="e">
        <v>#N/A</v>
      </c>
    </row>
    <row r="453" hidden="1">
      <c r="A453" s="258">
        <v>1014.0</v>
      </c>
      <c r="B453" s="258">
        <v>1014.0</v>
      </c>
      <c r="C453" s="260">
        <v>465.0</v>
      </c>
      <c r="D453" s="260">
        <f>IFERROR(__xludf.DUMMYFUNCTION("if(B453&lt;=999,if(B453&lt;=99,IF(B453&lt;=9,join(,""000"",B453),join(,""00"",B453)),join(,""0"",B453)),B453)"),1014.0)</f>
        <v>1014</v>
      </c>
      <c r="E453" s="270" t="s">
        <v>1073</v>
      </c>
      <c r="F453" s="263" t="str">
        <f>vlookup(B453,'Geotagging Master All-Training '!$A$2:$C$2474,2,false)</f>
        <v>#N/A</v>
      </c>
      <c r="G453" s="263" t="str">
        <f>vlookup(B453,'Geotagging Master All-Training '!$A$2:$C$2474,3,false)</f>
        <v>#N/A</v>
      </c>
      <c r="H453" s="265" t="s">
        <v>20</v>
      </c>
      <c r="I453" s="266" t="e">
        <v>#N/A</v>
      </c>
    </row>
    <row r="454" hidden="1">
      <c r="A454" s="258">
        <v>1183.0</v>
      </c>
      <c r="B454" s="259">
        <v>1183.0</v>
      </c>
      <c r="C454" s="260">
        <v>466.0</v>
      </c>
      <c r="D454" s="260">
        <f>IFERROR(__xludf.DUMMYFUNCTION("if(B454&lt;=999,if(B454&lt;=99,IF(B454&lt;=9,join(,""000"",B454),join(,""00"",B454)),join(,""0"",B454)),B454)"),1183.0)</f>
        <v>1183</v>
      </c>
      <c r="E454" s="270" t="s">
        <v>1074</v>
      </c>
      <c r="F454" s="263" t="str">
        <f>vlookup(B454,'Geotagging Master All-Training '!$A$2:$C$2474,2,false)</f>
        <v>#N/A</v>
      </c>
      <c r="G454" s="263" t="str">
        <f>vlookup(B454,'Geotagging Master All-Training '!$A$2:$C$2474,3,false)</f>
        <v>#N/A</v>
      </c>
      <c r="H454" s="265" t="s">
        <v>20</v>
      </c>
      <c r="I454" s="266">
        <v>5.0</v>
      </c>
    </row>
    <row r="455" hidden="1">
      <c r="A455" s="272">
        <v>1428.0</v>
      </c>
      <c r="B455" s="272">
        <v>1428.0</v>
      </c>
      <c r="C455" s="273">
        <v>470.0</v>
      </c>
      <c r="D455" s="273">
        <f>IFERROR(__xludf.DUMMYFUNCTION("if(B455&lt;=999,if(B455&lt;=99,IF(B455&lt;=9,join(,""000"",B455),join(,""00"",B455)),join(,""0"",B455)),B455)"),1428.0)</f>
        <v>1428</v>
      </c>
      <c r="E455" s="304" t="s">
        <v>1058</v>
      </c>
      <c r="F455" s="303" t="str">
        <f>vlookup(B455,'Geotagging Master All-Training '!$A$2:$C$2474,2,false)</f>
        <v>#N/A</v>
      </c>
      <c r="G455" s="303" t="str">
        <f>vlookup(B455,'Geotagging Master All-Training '!$A$2:$C$2474,3,false)</f>
        <v>#N/A</v>
      </c>
      <c r="H455" s="276" t="s">
        <v>20</v>
      </c>
      <c r="I455" s="277"/>
    </row>
    <row r="456" hidden="1">
      <c r="A456" s="258">
        <v>50.0</v>
      </c>
      <c r="B456" s="258">
        <v>50.0</v>
      </c>
      <c r="C456" s="273">
        <v>24.0</v>
      </c>
      <c r="D456" s="260" t="str">
        <f>IFERROR(__xludf.DUMMYFUNCTION("if(B456&lt;=999,if(B456&lt;=99,IF(B456&lt;=9,join(,""000"",B456),join(,""00"",B456)),join(,""0"",B456)),B456)"),"0050")</f>
        <v>0050</v>
      </c>
      <c r="E456" s="270" t="s">
        <v>1023</v>
      </c>
      <c r="F456" s="263" t="str">
        <f>vlookup(B456,'Geotagging Master All-Training '!$A$2:$C$2474,2,false)</f>
        <v>#N/A</v>
      </c>
      <c r="G456" s="263" t="str">
        <f>vlookup(B456,'Geotagging Master All-Training '!$A$2:$C$2474,3,false)</f>
        <v>#N/A</v>
      </c>
      <c r="H456" s="265" t="s">
        <v>35</v>
      </c>
      <c r="I456" s="266">
        <v>8000.0</v>
      </c>
    </row>
    <row r="457" hidden="1">
      <c r="A457" s="258">
        <v>1370.0</v>
      </c>
      <c r="B457" s="258">
        <v>1370.0</v>
      </c>
      <c r="C457" s="260">
        <v>469.0</v>
      </c>
      <c r="D457" s="260">
        <f>IFERROR(__xludf.DUMMYFUNCTION("if(B457&lt;=999,if(B457&lt;=99,IF(B457&lt;=9,join(,""000"",B457),join(,""00"",B457)),join(,""0"",B457)),B457)"),1370.0)</f>
        <v>1370</v>
      </c>
      <c r="E457" s="270" t="s">
        <v>1079</v>
      </c>
      <c r="F457" s="263" t="str">
        <f>vlookup(B457,'Geotagging Master All-Training '!$A$2:$C$2474,2,false)</f>
        <v>#N/A</v>
      </c>
      <c r="G457" s="263" t="str">
        <f>vlookup(B457,'Geotagging Master All-Training '!$A$2:$C$2474,3,false)</f>
        <v>#N/A</v>
      </c>
      <c r="H457" s="265" t="s">
        <v>20</v>
      </c>
      <c r="I457" s="266">
        <v>6.0</v>
      </c>
    </row>
    <row r="458" hidden="1">
      <c r="A458" s="272">
        <v>1404.0</v>
      </c>
      <c r="B458" s="272">
        <v>1404.0</v>
      </c>
      <c r="C458" s="273">
        <v>495.0</v>
      </c>
      <c r="D458" s="273">
        <f>IFERROR(__xludf.DUMMYFUNCTION("if(B458&lt;=999,if(B458&lt;=99,IF(B458&lt;=9,join(,""000"",B458),join(,""00"",B458)),join(,""0"",B458)),B458)"),1404.0)</f>
        <v>1404</v>
      </c>
      <c r="E458" s="304" t="s">
        <v>1127</v>
      </c>
      <c r="F458" s="303" t="str">
        <f>vlookup(B458,'Geotagging Master All-Training '!$A$2:$C$2474,2,false)</f>
        <v>#N/A</v>
      </c>
      <c r="G458" s="303" t="str">
        <f>vlookup(B458,'Geotagging Master All-Training '!$A$2:$C$2474,3,false)</f>
        <v>#N/A</v>
      </c>
      <c r="H458" s="276" t="s">
        <v>20</v>
      </c>
      <c r="I458" s="277" t="e">
        <v>#N/A</v>
      </c>
    </row>
    <row r="459" hidden="1">
      <c r="A459" s="258">
        <v>669.0</v>
      </c>
      <c r="B459" s="258">
        <v>669.0</v>
      </c>
      <c r="C459" s="260">
        <v>471.0</v>
      </c>
      <c r="D459" s="260" t="str">
        <f>IFERROR(__xludf.DUMMYFUNCTION("if(B459&lt;=999,if(B459&lt;=99,IF(B459&lt;=9,join(,""000"",B459),join(,""00"",B459)),join(,""0"",B459)),B459)"),"0669")</f>
        <v>0669</v>
      </c>
      <c r="E459" s="270" t="s">
        <v>1081</v>
      </c>
      <c r="F459" s="263" t="str">
        <f>vlookup(B459,'Geotagging Master All-Training '!$A$2:$C$2474,2,false)</f>
        <v>#N/A</v>
      </c>
      <c r="G459" s="263" t="str">
        <f>vlookup(B459,'Geotagging Master All-Training '!$A$2:$C$2474,3,false)</f>
        <v>#N/A</v>
      </c>
      <c r="H459" s="265" t="s">
        <v>20</v>
      </c>
      <c r="I459" s="266" t="s">
        <v>1083</v>
      </c>
    </row>
    <row r="460" hidden="1">
      <c r="A460" s="258">
        <v>163.0</v>
      </c>
      <c r="B460" s="258">
        <v>163.0</v>
      </c>
      <c r="C460" s="260">
        <v>472.0</v>
      </c>
      <c r="D460" s="260" t="str">
        <f>IFERROR(__xludf.DUMMYFUNCTION("if(B460&lt;=999,if(B460&lt;=99,IF(B460&lt;=9,join(,""000"",B460),join(,""00"",B460)),join(,""0"",B460)),B460)"),"0163")</f>
        <v>0163</v>
      </c>
      <c r="E460" s="262" t="s">
        <v>1087</v>
      </c>
      <c r="F460" s="263" t="str">
        <f>vlookup(B460,'Geotagging Master All-Training '!$A$2:$C$2474,2,false)</f>
        <v>#N/A</v>
      </c>
      <c r="G460" s="263" t="str">
        <f>vlookup(B460,'Geotagging Master All-Training '!$A$2:$C$2474,3,false)</f>
        <v>#N/A</v>
      </c>
      <c r="H460" s="265" t="s">
        <v>20</v>
      </c>
      <c r="I460" s="266">
        <v>8.0</v>
      </c>
    </row>
    <row r="461" hidden="1">
      <c r="A461" s="258">
        <v>640.0</v>
      </c>
      <c r="B461" s="259">
        <v>640.0</v>
      </c>
      <c r="C461" s="260">
        <v>473.0</v>
      </c>
      <c r="D461" s="260" t="str">
        <f>IFERROR(__xludf.DUMMYFUNCTION("if(B461&lt;=999,if(B461&lt;=99,IF(B461&lt;=9,join(,""000"",B461),join(,""00"",B461)),join(,""0"",B461)),B461)"),"0640")</f>
        <v>0640</v>
      </c>
      <c r="E461" s="270" t="s">
        <v>1089</v>
      </c>
      <c r="F461" s="263" t="str">
        <f>vlookup(B461,'Geotagging Master All-Training '!$A$2:$C$2474,2,false)</f>
        <v>#N/A</v>
      </c>
      <c r="G461" s="263" t="str">
        <f>vlookup(B461,'Geotagging Master All-Training '!$A$2:$C$2474,3,false)</f>
        <v>#N/A</v>
      </c>
      <c r="H461" s="265" t="s">
        <v>20</v>
      </c>
      <c r="I461" s="266">
        <v>8000.0</v>
      </c>
    </row>
    <row r="462" hidden="1">
      <c r="A462" s="258">
        <v>1432.0</v>
      </c>
      <c r="B462" s="258">
        <v>1432.0</v>
      </c>
      <c r="C462" s="260">
        <v>474.0</v>
      </c>
      <c r="D462" s="260">
        <f>IFERROR(__xludf.DUMMYFUNCTION("if(B462&lt;=999,if(B462&lt;=99,IF(B462&lt;=9,join(,""000"",B462),join(,""00"",B462)),join(,""0"",B462)),B462)"),1432.0)</f>
        <v>1432</v>
      </c>
      <c r="E462" s="270" t="s">
        <v>1090</v>
      </c>
      <c r="F462" s="263" t="str">
        <f>vlookup(B462,'Geotagging Master All-Training '!$A$2:$C$2474,2,false)</f>
        <v>#N/A</v>
      </c>
      <c r="G462" s="263" t="str">
        <f>vlookup(B462,'Geotagging Master All-Training '!$A$2:$C$2474,3,false)</f>
        <v>#N/A</v>
      </c>
      <c r="H462" s="265" t="s">
        <v>20</v>
      </c>
      <c r="I462" s="266" t="s">
        <v>1091</v>
      </c>
    </row>
    <row r="463" hidden="1">
      <c r="A463" s="258">
        <v>1101.0</v>
      </c>
      <c r="B463" s="258">
        <v>1101.0</v>
      </c>
      <c r="C463" s="260">
        <v>475.0</v>
      </c>
      <c r="D463" s="260">
        <f>IFERROR(__xludf.DUMMYFUNCTION("if(B463&lt;=999,if(B463&lt;=99,IF(B463&lt;=9,join(,""000"",B463),join(,""00"",B463)),join(,""0"",B463)),B463)"),1101.0)</f>
        <v>1101</v>
      </c>
      <c r="E463" s="270" t="s">
        <v>1092</v>
      </c>
      <c r="F463" s="263" t="str">
        <f>vlookup(B463,'Geotagging Master All-Training '!$A$2:$C$2474,2,false)</f>
        <v>#N/A</v>
      </c>
      <c r="G463" s="263" t="str">
        <f>vlookup(B463,'Geotagging Master All-Training '!$A$2:$C$2474,3,false)</f>
        <v>#N/A</v>
      </c>
      <c r="H463" s="265" t="s">
        <v>20</v>
      </c>
      <c r="I463" s="266">
        <v>16.0</v>
      </c>
    </row>
    <row r="464" hidden="1">
      <c r="A464" s="258">
        <v>1095.0</v>
      </c>
      <c r="B464" s="258">
        <v>1095.0</v>
      </c>
      <c r="C464" s="260">
        <v>476.0</v>
      </c>
      <c r="D464" s="260">
        <f>IFERROR(__xludf.DUMMYFUNCTION("if(B464&lt;=999,if(B464&lt;=99,IF(B464&lt;=9,join(,""000"",B464),join(,""00"",B464)),join(,""0"",B464)),B464)"),1095.0)</f>
        <v>1095</v>
      </c>
      <c r="E464" s="270" t="s">
        <v>1093</v>
      </c>
      <c r="F464" s="263" t="str">
        <f>vlookup(B464,'Geotagging Master All-Training '!$A$2:$C$2474,2,false)</f>
        <v>#N/A</v>
      </c>
      <c r="G464" s="263" t="str">
        <f>vlookup(B464,'Geotagging Master All-Training '!$A$2:$C$2474,3,false)</f>
        <v>#N/A</v>
      </c>
      <c r="H464" s="265" t="s">
        <v>20</v>
      </c>
      <c r="I464" s="266"/>
    </row>
    <row r="465" hidden="1">
      <c r="A465" s="258">
        <v>1295.0</v>
      </c>
      <c r="B465" s="259">
        <v>1295.0</v>
      </c>
      <c r="C465" s="260">
        <v>477.0</v>
      </c>
      <c r="D465" s="260">
        <f>IFERROR(__xludf.DUMMYFUNCTION("if(B465&lt;=999,if(B465&lt;=99,IF(B465&lt;=9,join(,""000"",B465),join(,""00"",B465)),join(,""0"",B465)),B465)"),1295.0)</f>
        <v>1295</v>
      </c>
      <c r="E465" s="270" t="s">
        <v>1094</v>
      </c>
      <c r="F465" s="263" t="str">
        <f>vlookup(B465,'Geotagging Master All-Training '!$A$2:$C$2474,2,false)</f>
        <v>#N/A</v>
      </c>
      <c r="G465" s="263" t="str">
        <f>vlookup(B465,'Geotagging Master All-Training '!$A$2:$C$2474,3,false)</f>
        <v>#N/A</v>
      </c>
      <c r="H465" s="265" t="s">
        <v>20</v>
      </c>
      <c r="I465" s="266"/>
    </row>
    <row r="466" hidden="1">
      <c r="A466" s="258">
        <v>671.0</v>
      </c>
      <c r="B466" s="258">
        <v>671.0</v>
      </c>
      <c r="C466" s="260">
        <v>478.0</v>
      </c>
      <c r="D466" s="260" t="str">
        <f>IFERROR(__xludf.DUMMYFUNCTION("if(B466&lt;=999,if(B466&lt;=99,IF(B466&lt;=9,join(,""000"",B466),join(,""00"",B466)),join(,""0"",B466)),B466)"),"0671")</f>
        <v>0671</v>
      </c>
      <c r="E466" s="270" t="s">
        <v>1095</v>
      </c>
      <c r="F466" s="263" t="str">
        <f>vlookup(B466,'Geotagging Master All-Training '!$A$2:$C$2474,2,false)</f>
        <v>#N/A</v>
      </c>
      <c r="G466" s="263" t="str">
        <f>vlookup(B466,'Geotagging Master All-Training '!$A$2:$C$2474,3,false)</f>
        <v>#N/A</v>
      </c>
      <c r="H466" s="265" t="s">
        <v>20</v>
      </c>
      <c r="I466" s="266"/>
    </row>
    <row r="467" hidden="1">
      <c r="A467" s="258">
        <v>944.0</v>
      </c>
      <c r="B467" s="258">
        <v>944.0</v>
      </c>
      <c r="C467" s="260">
        <v>479.0</v>
      </c>
      <c r="D467" s="260" t="str">
        <f>IFERROR(__xludf.DUMMYFUNCTION("if(B467&lt;=999,if(B467&lt;=99,IF(B467&lt;=9,join(,""000"",B467),join(,""00"",B467)),join(,""0"",B467)),B467)"),"0944")</f>
        <v>0944</v>
      </c>
      <c r="E467" s="270" t="s">
        <v>1096</v>
      </c>
      <c r="F467" s="263" t="str">
        <f>vlookup(B467,'Geotagging Master All-Training '!$A$2:$C$2474,2,false)</f>
        <v>#N/A</v>
      </c>
      <c r="G467" s="263" t="str">
        <f>vlookup(B467,'Geotagging Master All-Training '!$A$2:$C$2474,3,false)</f>
        <v>#N/A</v>
      </c>
      <c r="H467" s="265" t="s">
        <v>20</v>
      </c>
      <c r="I467" s="266"/>
    </row>
    <row r="468" hidden="1">
      <c r="A468" s="258">
        <v>1427.0</v>
      </c>
      <c r="B468" s="258">
        <v>1427.0</v>
      </c>
      <c r="C468" s="260">
        <v>480.0</v>
      </c>
      <c r="D468" s="260">
        <f>IFERROR(__xludf.DUMMYFUNCTION("if(B468&lt;=999,if(B468&lt;=99,IF(B468&lt;=9,join(,""000"",B468),join(,""00"",B468)),join(,""0"",B468)),B468)"),1427.0)</f>
        <v>1427</v>
      </c>
      <c r="E468" s="262" t="s">
        <v>1098</v>
      </c>
      <c r="F468" s="263" t="str">
        <f>vlookup(B468,'Geotagging Master All-Training '!$A$2:$C$2474,2,false)</f>
        <v>#N/A</v>
      </c>
      <c r="G468" s="263" t="str">
        <f>vlookup(B468,'Geotagging Master All-Training '!$A$2:$C$2474,3,false)</f>
        <v>#N/A</v>
      </c>
      <c r="H468" s="265" t="s">
        <v>20</v>
      </c>
      <c r="I468" s="266" t="s">
        <v>1101</v>
      </c>
    </row>
    <row r="469" hidden="1">
      <c r="A469" s="258">
        <v>1230.0</v>
      </c>
      <c r="B469" s="258">
        <v>1230.0</v>
      </c>
      <c r="C469" s="260">
        <v>481.0</v>
      </c>
      <c r="D469" s="260">
        <f>IFERROR(__xludf.DUMMYFUNCTION("if(B469&lt;=999,if(B469&lt;=99,IF(B469&lt;=9,join(,""000"",B469),join(,""00"",B469)),join(,""0"",B469)),B469)"),1230.0)</f>
        <v>1230</v>
      </c>
      <c r="E469" s="270" t="s">
        <v>1102</v>
      </c>
      <c r="F469" s="263" t="str">
        <f>vlookup(B469,'Geotagging Master All-Training '!$A$2:$C$2474,2,false)</f>
        <v>#N/A</v>
      </c>
      <c r="G469" s="263" t="str">
        <f>vlookup(B469,'Geotagging Master All-Training '!$A$2:$C$2474,3,false)</f>
        <v>#N/A</v>
      </c>
      <c r="H469" s="265" t="s">
        <v>20</v>
      </c>
      <c r="I469" s="266">
        <v>443.0</v>
      </c>
    </row>
    <row r="470" hidden="1">
      <c r="A470" s="258">
        <v>238.0</v>
      </c>
      <c r="B470" s="258">
        <v>238.0</v>
      </c>
      <c r="C470" s="260">
        <v>482.0</v>
      </c>
      <c r="D470" s="260" t="str">
        <f>IFERROR(__xludf.DUMMYFUNCTION("if(B470&lt;=999,if(B470&lt;=99,IF(B470&lt;=9,join(,""000"",B470),join(,""00"",B470)),join(,""0"",B470)),B470)"),"0238")</f>
        <v>0238</v>
      </c>
      <c r="E470" s="321" t="s">
        <v>1338</v>
      </c>
      <c r="F470" s="263" t="str">
        <f>vlookup(B470,'Geotagging Master All-Training '!$A$2:$C$2474,2,false)</f>
        <v>#N/A</v>
      </c>
      <c r="G470" s="263" t="str">
        <f>vlookup(B470,'Geotagging Master All-Training '!$A$2:$C$2474,3,false)</f>
        <v>#N/A</v>
      </c>
      <c r="H470" s="265" t="s">
        <v>20</v>
      </c>
      <c r="I470" s="266">
        <v>8.0</v>
      </c>
    </row>
    <row r="471" hidden="1">
      <c r="A471" s="258">
        <v>1133.0</v>
      </c>
      <c r="B471" s="258">
        <v>1133.0</v>
      </c>
      <c r="C471" s="260">
        <v>483.0</v>
      </c>
      <c r="D471" s="260">
        <f>IFERROR(__xludf.DUMMYFUNCTION("if(B471&lt;=999,if(B471&lt;=99,IF(B471&lt;=9,join(,""000"",B471),join(,""00"",B471)),join(,""0"",B471)),B471)"),1133.0)</f>
        <v>1133</v>
      </c>
      <c r="E471" s="262" t="s">
        <v>1106</v>
      </c>
      <c r="F471" s="263" t="str">
        <f>vlookup(B471,'Geotagging Master All-Training '!$A$2:$C$2474,2,false)</f>
        <v>#N/A</v>
      </c>
      <c r="G471" s="263" t="str">
        <f>vlookup(B471,'Geotagging Master All-Training '!$A$2:$C$2474,3,false)</f>
        <v>#N/A</v>
      </c>
      <c r="H471" s="265" t="s">
        <v>20</v>
      </c>
      <c r="I471" s="266">
        <v>25001.0</v>
      </c>
    </row>
    <row r="472" hidden="1">
      <c r="A472" s="272">
        <v>228.0</v>
      </c>
      <c r="B472" s="272">
        <v>228.0</v>
      </c>
      <c r="C472" s="260">
        <v>484.0</v>
      </c>
      <c r="D472" s="273" t="str">
        <f>IFERROR(__xludf.DUMMYFUNCTION("if(B472&lt;=999,if(B472&lt;=99,IF(B472&lt;=9,join(,""000"",B472),join(,""00"",B472)),join(,""0"",B472)),B472)"),"0228")</f>
        <v>0228</v>
      </c>
      <c r="E472" s="274" t="s">
        <v>1109</v>
      </c>
      <c r="F472" s="263" t="str">
        <f>vlookup(B472,'Geotagging Master All-Training '!$A$2:$C$2474,2,false)</f>
        <v>#N/A</v>
      </c>
      <c r="G472" s="263" t="str">
        <f>vlookup(B472,'Geotagging Master All-Training '!$A$2:$C$2474,3,false)</f>
        <v>#N/A</v>
      </c>
      <c r="H472" s="276" t="s">
        <v>20</v>
      </c>
      <c r="I472" s="277">
        <v>16.0</v>
      </c>
    </row>
    <row r="473" hidden="1">
      <c r="A473" s="258">
        <v>682.0</v>
      </c>
      <c r="B473" s="258">
        <v>682.0</v>
      </c>
      <c r="C473" s="260">
        <v>485.0</v>
      </c>
      <c r="D473" s="260" t="str">
        <f>IFERROR(__xludf.DUMMYFUNCTION("if(B473&lt;=999,if(B473&lt;=99,IF(B473&lt;=9,join(,""000"",B473),join(,""00"",B473)),join(,""0"",B473)),B473)"),"0682")</f>
        <v>0682</v>
      </c>
      <c r="E473" s="262" t="s">
        <v>1111</v>
      </c>
      <c r="F473" s="263" t="str">
        <f>vlookup(B473,'Geotagging Master All-Training '!$A$2:$C$2474,2,false)</f>
        <v>#N/A</v>
      </c>
      <c r="G473" s="263" t="str">
        <f>vlookup(B473,'Geotagging Master All-Training '!$A$2:$C$2474,3,false)</f>
        <v>#N/A</v>
      </c>
      <c r="H473" s="265" t="s">
        <v>20</v>
      </c>
      <c r="I473" s="266">
        <v>16.0</v>
      </c>
    </row>
    <row r="474" hidden="1">
      <c r="A474" s="272">
        <v>216.0</v>
      </c>
      <c r="B474" s="272">
        <v>216.0</v>
      </c>
      <c r="C474" s="260">
        <v>486.0</v>
      </c>
      <c r="D474" s="273" t="str">
        <f>IFERROR(__xludf.DUMMYFUNCTION("if(B474&lt;=999,if(B474&lt;=99,IF(B474&lt;=9,join(,""000"",B474),join(,""00"",B474)),join(,""0"",B474)),B474)"),"0216")</f>
        <v>0216</v>
      </c>
      <c r="E474" s="274" t="s">
        <v>1112</v>
      </c>
      <c r="F474" s="263" t="str">
        <f>vlookup(B474,'Geotagging Master All-Training '!$A$2:$C$2474,2,false)</f>
        <v>#N/A</v>
      </c>
      <c r="G474" s="263" t="str">
        <f>vlookup(B474,'Geotagging Master All-Training '!$A$2:$C$2474,3,false)</f>
        <v>#N/A</v>
      </c>
      <c r="H474" s="276" t="s">
        <v>20</v>
      </c>
      <c r="I474" s="277">
        <v>24.0</v>
      </c>
    </row>
    <row r="475" hidden="1">
      <c r="A475" s="258">
        <v>1058.0</v>
      </c>
      <c r="B475" s="259">
        <v>1058.0</v>
      </c>
      <c r="C475" s="260">
        <v>487.0</v>
      </c>
      <c r="D475" s="260">
        <f>IFERROR(__xludf.DUMMYFUNCTION("if(B475&lt;=999,if(B475&lt;=99,IF(B475&lt;=9,join(,""000"",B475),join(,""00"",B475)),join(,""0"",B475)),B475)"),1058.0)</f>
        <v>1058</v>
      </c>
      <c r="E475" s="262" t="s">
        <v>1113</v>
      </c>
      <c r="F475" s="263" t="str">
        <f>vlookup(B475,'Geotagging Master All-Training '!$A$2:$C$2474,2,false)</f>
        <v>#N/A</v>
      </c>
      <c r="G475" s="263" t="str">
        <f>vlookup(B475,'Geotagging Master All-Training '!$A$2:$C$2474,3,false)</f>
        <v>#N/A</v>
      </c>
      <c r="H475" s="265" t="s">
        <v>20</v>
      </c>
      <c r="I475" s="266" t="e">
        <v>#N/A</v>
      </c>
    </row>
    <row r="476" hidden="1">
      <c r="A476" s="258">
        <v>805.0</v>
      </c>
      <c r="B476" s="258">
        <v>805.0</v>
      </c>
      <c r="C476" s="260">
        <v>488.0</v>
      </c>
      <c r="D476" s="260" t="str">
        <f>IFERROR(__xludf.DUMMYFUNCTION("if(B476&lt;=999,if(B476&lt;=99,IF(B476&lt;=9,join(,""000"",B476),join(,""00"",B476)),join(,""0"",B476)),B476)"),"0805")</f>
        <v>0805</v>
      </c>
      <c r="E476" s="262" t="s">
        <v>1114</v>
      </c>
      <c r="F476" s="263" t="str">
        <f>vlookup(B476,'Geotagging Master All-Training '!$A$2:$C$2474,2,false)</f>
        <v>#N/A</v>
      </c>
      <c r="G476" s="263" t="str">
        <f>vlookup(B476,'Geotagging Master All-Training '!$A$2:$C$2474,3,false)</f>
        <v>#N/A</v>
      </c>
      <c r="H476" s="265" t="s">
        <v>20</v>
      </c>
      <c r="I476" s="266">
        <v>80.0</v>
      </c>
    </row>
    <row r="477" hidden="1">
      <c r="A477" s="258">
        <v>1033.0</v>
      </c>
      <c r="B477" s="259">
        <v>1033.0</v>
      </c>
      <c r="C477" s="260">
        <v>489.0</v>
      </c>
      <c r="D477" s="260">
        <f>IFERROR(__xludf.DUMMYFUNCTION("if(B477&lt;=999,if(B477&lt;=99,IF(B477&lt;=9,join(,""000"",B477),join(,""00"",B477)),join(,""0"",B477)),B477)"),1033.0)</f>
        <v>1033</v>
      </c>
      <c r="E477" s="270" t="s">
        <v>1115</v>
      </c>
      <c r="F477" s="263" t="str">
        <f>vlookup(B477,'Geotagging Master All-Training '!$A$2:$C$2474,2,false)</f>
        <v>#N/A</v>
      </c>
      <c r="G477" s="263" t="str">
        <f>vlookup(B477,'Geotagging Master All-Training '!$A$2:$C$2474,3,false)</f>
        <v>#N/A</v>
      </c>
      <c r="H477" s="265" t="s">
        <v>20</v>
      </c>
      <c r="I477" s="266">
        <v>1500.0</v>
      </c>
    </row>
    <row r="478" hidden="1">
      <c r="A478" s="258">
        <v>949.0</v>
      </c>
      <c r="B478" s="258">
        <v>949.0</v>
      </c>
      <c r="C478" s="260">
        <v>490.0</v>
      </c>
      <c r="D478" s="260" t="str">
        <f>IFERROR(__xludf.DUMMYFUNCTION("if(B478&lt;=999,if(B478&lt;=99,IF(B478&lt;=9,join(,""000"",B478),join(,""00"",B478)),join(,""0"",B478)),B478)"),"0949")</f>
        <v>0949</v>
      </c>
      <c r="E478" s="270" t="s">
        <v>1117</v>
      </c>
      <c r="F478" s="263" t="str">
        <f>vlookup(B478,'Geotagging Master All-Training '!$A$2:$C$2474,2,false)</f>
        <v>#N/A</v>
      </c>
      <c r="G478" s="263" t="str">
        <f>vlookup(B478,'Geotagging Master All-Training '!$A$2:$C$2474,3,false)</f>
        <v>#N/A</v>
      </c>
      <c r="H478" s="265" t="s">
        <v>20</v>
      </c>
      <c r="I478" s="266">
        <v>4.0</v>
      </c>
    </row>
    <row r="479" hidden="1">
      <c r="A479" s="258">
        <v>253.0</v>
      </c>
      <c r="B479" s="258">
        <v>253.0</v>
      </c>
      <c r="C479" s="260">
        <v>491.0</v>
      </c>
      <c r="D479" s="260" t="str">
        <f>IFERROR(__xludf.DUMMYFUNCTION("if(B479&lt;=999,if(B479&lt;=99,IF(B479&lt;=9,join(,""000"",B479),join(,""00"",B479)),join(,""0"",B479)),B479)"),"0253")</f>
        <v>0253</v>
      </c>
      <c r="E479" s="270" t="s">
        <v>1183</v>
      </c>
      <c r="F479" s="263" t="str">
        <f>vlookup(B479,'Geotagging Master All-Training '!$A$2:$C$2474,2,false)</f>
        <v>#N/A</v>
      </c>
      <c r="G479" s="263" t="str">
        <f>vlookup(B479,'Geotagging Master All-Training '!$A$2:$C$2474,3,false)</f>
        <v>#N/A</v>
      </c>
      <c r="H479" s="265" t="s">
        <v>20</v>
      </c>
      <c r="I479" s="266"/>
    </row>
    <row r="480" hidden="1">
      <c r="A480" s="272">
        <v>1079.0</v>
      </c>
      <c r="B480" s="272">
        <v>1079.0</v>
      </c>
      <c r="C480" s="260">
        <v>492.0</v>
      </c>
      <c r="D480" s="273">
        <f>IFERROR(__xludf.DUMMYFUNCTION("if(B480&lt;=999,if(B480&lt;=99,IF(B480&lt;=9,join(,""000"",B480),join(,""00"",B480)),join(,""0"",B480)),B480)"),1079.0)</f>
        <v>1079</v>
      </c>
      <c r="E480" s="304" t="s">
        <v>1120</v>
      </c>
      <c r="F480" s="263" t="str">
        <f>vlookup(B480,'Geotagging Master All-Training '!$A$2:$C$2474,2,false)</f>
        <v>#N/A</v>
      </c>
      <c r="G480" s="263" t="str">
        <f>vlookup(B480,'Geotagging Master All-Training '!$A$2:$C$2474,3,false)</f>
        <v>#N/A</v>
      </c>
      <c r="H480" s="276" t="s">
        <v>20</v>
      </c>
      <c r="I480" s="277" t="s">
        <v>484</v>
      </c>
    </row>
    <row r="481" hidden="1">
      <c r="A481" s="272">
        <v>1126.0</v>
      </c>
      <c r="B481" s="272">
        <v>1126.0</v>
      </c>
      <c r="C481" s="260">
        <v>493.0</v>
      </c>
      <c r="D481" s="273">
        <f>IFERROR(__xludf.DUMMYFUNCTION("if(B481&lt;=999,if(B481&lt;=99,IF(B481&lt;=9,join(,""000"",B481),join(,""00"",B481)),join(,""0"",B481)),B481)"),1126.0)</f>
        <v>1126</v>
      </c>
      <c r="E481" s="304" t="s">
        <v>1123</v>
      </c>
      <c r="F481" s="263" t="str">
        <f>vlookup(B481,'Geotagging Master All-Training '!$A$2:$C$2474,2,false)</f>
        <v>#N/A</v>
      </c>
      <c r="G481" s="263" t="str">
        <f>vlookup(B481,'Geotagging Master All-Training '!$A$2:$C$2474,3,false)</f>
        <v>#N/A</v>
      </c>
      <c r="H481" s="276" t="s">
        <v>20</v>
      </c>
      <c r="I481" s="277" t="s">
        <v>1124</v>
      </c>
    </row>
    <row r="482" hidden="1">
      <c r="A482" s="258">
        <v>23.0</v>
      </c>
      <c r="B482" s="258">
        <v>23.0</v>
      </c>
      <c r="C482" s="260">
        <v>494.0</v>
      </c>
      <c r="D482" s="260" t="str">
        <f>IFERROR(__xludf.DUMMYFUNCTION("if(B482&lt;=999,if(B482&lt;=99,IF(B482&lt;=9,join(,""000"",B482),join(,""00"",B482)),join(,""0"",B482)),B482)"),"0023")</f>
        <v>0023</v>
      </c>
      <c r="E482" s="262" t="s">
        <v>1125</v>
      </c>
      <c r="F482" s="263" t="str">
        <f>vlookup(B482,'Geotagging Master All-Training '!$A$2:$C$2474,2,false)</f>
        <v>#N/A</v>
      </c>
      <c r="G482" s="263" t="str">
        <f>vlookup(B482,'Geotagging Master All-Training '!$A$2:$C$2474,3,false)</f>
        <v>#N/A</v>
      </c>
      <c r="H482" s="265" t="s">
        <v>20</v>
      </c>
      <c r="I482" s="266" t="s">
        <v>1126</v>
      </c>
    </row>
    <row r="483" hidden="1">
      <c r="A483" s="272">
        <v>1028.0</v>
      </c>
      <c r="B483" s="272">
        <v>1028.0</v>
      </c>
      <c r="C483" s="273">
        <v>520.0</v>
      </c>
      <c r="D483" s="273">
        <f>IFERROR(__xludf.DUMMYFUNCTION("if(B483&lt;=999,if(B483&lt;=99,IF(B483&lt;=9,join(,""000"",B483),join(,""00"",B483)),join(,""0"",B483)),B483)"),1028.0)</f>
        <v>1028</v>
      </c>
      <c r="E483" s="304" t="s">
        <v>1174</v>
      </c>
      <c r="F483" s="303" t="str">
        <f>vlookup(B483,'Geotagging Master All-Training '!$A$2:$C$2474,2,false)</f>
        <v>#N/A</v>
      </c>
      <c r="G483" s="303" t="str">
        <f>vlookup(B483,'Geotagging Master All-Training '!$A$2:$C$2474,3,false)</f>
        <v>#N/A</v>
      </c>
      <c r="H483" s="276" t="s">
        <v>20</v>
      </c>
      <c r="I483" s="277">
        <v>36666.0</v>
      </c>
    </row>
    <row r="484" hidden="1">
      <c r="A484" s="258">
        <v>359.0</v>
      </c>
      <c r="B484" s="258">
        <v>359.0</v>
      </c>
      <c r="C484" s="260">
        <v>496.0</v>
      </c>
      <c r="D484" s="260" t="str">
        <f>IFERROR(__xludf.DUMMYFUNCTION("if(B484&lt;=999,if(B484&lt;=99,IF(B484&lt;=9,join(,""000"",B484),join(,""00"",B484)),join(,""0"",B484)),B484)"),"0359")</f>
        <v>0359</v>
      </c>
      <c r="E484" s="270" t="s">
        <v>1128</v>
      </c>
      <c r="F484" s="263" t="str">
        <f>vlookup(B484,'Geotagging Master All-Training '!$A$2:$C$2474,2,false)</f>
        <v>#N/A</v>
      </c>
      <c r="G484" s="263" t="str">
        <f>vlookup(B484,'Geotagging Master All-Training '!$A$2:$C$2474,3,false)</f>
        <v>#N/A</v>
      </c>
      <c r="H484" s="265" t="s">
        <v>20</v>
      </c>
      <c r="I484" s="266"/>
    </row>
    <row r="485" hidden="1">
      <c r="A485" s="258">
        <v>1083.0</v>
      </c>
      <c r="B485" s="259">
        <v>1083.0</v>
      </c>
      <c r="C485" s="260">
        <v>497.0</v>
      </c>
      <c r="D485" s="260">
        <f>IFERROR(__xludf.DUMMYFUNCTION("if(B485&lt;=999,if(B485&lt;=99,IF(B485&lt;=9,join(,""000"",B485),join(,""00"",B485)),join(,""0"",B485)),B485)"),1083.0)</f>
        <v>1083</v>
      </c>
      <c r="E485" s="262" t="s">
        <v>1129</v>
      </c>
      <c r="F485" s="263" t="str">
        <f>vlookup(B485,'Geotagging Master All-Training '!$A$2:$C$2474,2,false)</f>
        <v>#N/A</v>
      </c>
      <c r="G485" s="263" t="str">
        <f>vlookup(B485,'Geotagging Master All-Training '!$A$2:$C$2474,3,false)</f>
        <v>#N/A</v>
      </c>
      <c r="H485" s="265" t="s">
        <v>20</v>
      </c>
      <c r="I485" s="266"/>
    </row>
    <row r="486" hidden="1">
      <c r="A486" s="258">
        <v>520.0</v>
      </c>
      <c r="B486" s="258">
        <v>520.0</v>
      </c>
      <c r="C486" s="260">
        <v>498.0</v>
      </c>
      <c r="D486" s="260" t="str">
        <f>IFERROR(__xludf.DUMMYFUNCTION("if(B486&lt;=999,if(B486&lt;=99,IF(B486&lt;=9,join(,""000"",B486),join(,""00"",B486)),join(,""0"",B486)),B486)"),"0520")</f>
        <v>0520</v>
      </c>
      <c r="E486" s="270" t="s">
        <v>1130</v>
      </c>
      <c r="F486" s="263" t="str">
        <f>vlookup(B486,'Geotagging Master All-Training '!$A$2:$C$2474,2,false)</f>
        <v>#N/A</v>
      </c>
      <c r="G486" s="263" t="str">
        <f>vlookup(B486,'Geotagging Master All-Training '!$A$2:$C$2474,3,false)</f>
        <v>#N/A</v>
      </c>
      <c r="H486" s="265" t="s">
        <v>20</v>
      </c>
      <c r="I486" s="266">
        <v>25001.0</v>
      </c>
    </row>
    <row r="487" hidden="1">
      <c r="A487" s="258">
        <v>4.0</v>
      </c>
      <c r="B487" s="258">
        <v>4.0</v>
      </c>
      <c r="C487" s="273">
        <v>25.0</v>
      </c>
      <c r="D487" s="260" t="str">
        <f>IFERROR(__xludf.DUMMYFUNCTION("if(B487&lt;=999,if(B487&lt;=99,IF(B487&lt;=9,join(,""000"",B487),join(,""00"",B487)),join(,""0"",B487)),B487)"),"0004")</f>
        <v>0004</v>
      </c>
      <c r="E487" s="270" t="s">
        <v>1131</v>
      </c>
      <c r="F487" s="263" t="str">
        <f>vlookup(B487,'Geotagging Master All-Training '!$A$2:$C$2474,2,false)</f>
        <v>#N/A</v>
      </c>
      <c r="G487" s="263" t="str">
        <f>vlookup(B487,'Geotagging Master All-Training '!$A$2:$C$2474,3,false)</f>
        <v>#N/A</v>
      </c>
      <c r="H487" s="265" t="s">
        <v>35</v>
      </c>
      <c r="I487" s="266">
        <v>4.0</v>
      </c>
    </row>
    <row r="488" hidden="1">
      <c r="A488" s="258">
        <v>684.0</v>
      </c>
      <c r="B488" s="258">
        <v>684.0</v>
      </c>
      <c r="C488" s="260">
        <v>500.0</v>
      </c>
      <c r="D488" s="260" t="str">
        <f>IFERROR(__xludf.DUMMYFUNCTION("if(B488&lt;=999,if(B488&lt;=99,IF(B488&lt;=9,join(,""000"",B488),join(,""00"",B488)),join(,""0"",B488)),B488)"),"0684")</f>
        <v>0684</v>
      </c>
      <c r="E488" s="270" t="s">
        <v>1133</v>
      </c>
      <c r="F488" s="263" t="str">
        <f>vlookup(B488,'Geotagging Master All-Training '!$A$2:$C$2474,2,false)</f>
        <v>#N/A</v>
      </c>
      <c r="G488" s="263" t="str">
        <f>vlookup(B488,'Geotagging Master All-Training '!$A$2:$C$2474,3,false)</f>
        <v>#N/A</v>
      </c>
      <c r="H488" s="265" t="s">
        <v>20</v>
      </c>
      <c r="I488" s="266">
        <v>25001.0</v>
      </c>
    </row>
    <row r="489" hidden="1">
      <c r="A489" s="258">
        <v>1415.0</v>
      </c>
      <c r="B489" s="258">
        <v>1415.0</v>
      </c>
      <c r="C489" s="260">
        <v>501.0</v>
      </c>
      <c r="D489" s="260">
        <f>IFERROR(__xludf.DUMMYFUNCTION("if(B489&lt;=999,if(B489&lt;=99,IF(B489&lt;=9,join(,""000"",B489),join(,""00"",B489)),join(,""0"",B489)),B489)"),1415.0)</f>
        <v>1415</v>
      </c>
      <c r="E489" s="270" t="s">
        <v>1135</v>
      </c>
      <c r="F489" s="263" t="str">
        <f>vlookup(B489,'Geotagging Master All-Training '!$A$2:$C$2474,2,false)</f>
        <v>#N/A</v>
      </c>
      <c r="G489" s="263" t="str">
        <f>vlookup(B489,'Geotagging Master All-Training '!$A$2:$C$2474,3,false)</f>
        <v>#N/A</v>
      </c>
      <c r="H489" s="265" t="s">
        <v>20</v>
      </c>
      <c r="I489" s="266"/>
    </row>
    <row r="490" hidden="1">
      <c r="A490" s="258">
        <v>1390.0</v>
      </c>
      <c r="B490" s="258">
        <v>1390.0</v>
      </c>
      <c r="C490" s="260">
        <v>502.0</v>
      </c>
      <c r="D490" s="260">
        <f>IFERROR(__xludf.DUMMYFUNCTION("if(B490&lt;=999,if(B490&lt;=99,IF(B490&lt;=9,join(,""000"",B490),join(,""00"",B490)),join(,""0"",B490)),B490)"),1390.0)</f>
        <v>1390</v>
      </c>
      <c r="E490" s="270" t="s">
        <v>1139</v>
      </c>
      <c r="F490" s="263" t="str">
        <f>vlookup(B490,'Geotagging Master All-Training '!$A$2:$C$2474,2,false)</f>
        <v>#N/A</v>
      </c>
      <c r="G490" s="263" t="str">
        <f>vlookup(B490,'Geotagging Master All-Training '!$A$2:$C$2474,3,false)</f>
        <v>#N/A</v>
      </c>
      <c r="H490" s="265" t="s">
        <v>20</v>
      </c>
      <c r="I490" s="266">
        <v>37777.0</v>
      </c>
    </row>
    <row r="491" hidden="1">
      <c r="A491" s="258">
        <v>489.0</v>
      </c>
      <c r="B491" s="259">
        <v>489.0</v>
      </c>
      <c r="C491" s="260">
        <v>503.0</v>
      </c>
      <c r="D491" s="260" t="str">
        <f>IFERROR(__xludf.DUMMYFUNCTION("if(B491&lt;=999,if(B491&lt;=99,IF(B491&lt;=9,join(,""000"",B491),join(,""00"",B491)),join(,""0"",B491)),B491)"),"0489")</f>
        <v>0489</v>
      </c>
      <c r="E491" s="270" t="s">
        <v>1142</v>
      </c>
      <c r="F491" s="263" t="str">
        <f>vlookup(B491,'Geotagging Master All-Training '!$A$2:$C$2474,2,false)</f>
        <v>#N/A</v>
      </c>
      <c r="G491" s="263" t="str">
        <f>vlookup(B491,'Geotagging Master All-Training '!$A$2:$C$2474,3,false)</f>
        <v>#N/A</v>
      </c>
      <c r="H491" s="265" t="s">
        <v>20</v>
      </c>
      <c r="I491" s="266"/>
    </row>
    <row r="492" hidden="1">
      <c r="A492" s="258">
        <v>68.0</v>
      </c>
      <c r="B492" s="258">
        <v>68.0</v>
      </c>
      <c r="C492" s="260">
        <v>504.0</v>
      </c>
      <c r="D492" s="260" t="str">
        <f>IFERROR(__xludf.DUMMYFUNCTION("if(B492&lt;=999,if(B492&lt;=99,IF(B492&lt;=9,join(,""000"",B492),join(,""00"",B492)),join(,""0"",B492)),B492)"),"0068")</f>
        <v>0068</v>
      </c>
      <c r="E492" s="270" t="s">
        <v>1143</v>
      </c>
      <c r="F492" s="263" t="str">
        <f>vlookup(B492,'Geotagging Master All-Training '!$A$2:$C$2474,2,false)</f>
        <v>#N/A</v>
      </c>
      <c r="G492" s="263" t="str">
        <f>vlookup(B492,'Geotagging Master All-Training '!$A$2:$C$2474,3,false)</f>
        <v>#N/A</v>
      </c>
      <c r="H492" s="265" t="s">
        <v>20</v>
      </c>
      <c r="I492" s="266"/>
    </row>
    <row r="493" hidden="1">
      <c r="A493" s="258">
        <v>804.0</v>
      </c>
      <c r="B493" s="259">
        <v>804.0</v>
      </c>
      <c r="C493" s="260">
        <v>505.0</v>
      </c>
      <c r="D493" s="260" t="str">
        <f>IFERROR(__xludf.DUMMYFUNCTION("if(B493&lt;=999,if(B493&lt;=99,IF(B493&lt;=9,join(,""000"",B493),join(,""00"",B493)),join(,""0"",B493)),B493)"),"0804")</f>
        <v>0804</v>
      </c>
      <c r="E493" s="262" t="s">
        <v>1145</v>
      </c>
      <c r="F493" s="263" t="str">
        <f>vlookup(B493,'Geotagging Master All-Training '!$A$2:$C$2474,2,false)</f>
        <v>#N/A</v>
      </c>
      <c r="G493" s="263" t="str">
        <f>vlookup(B493,'Geotagging Master All-Training '!$A$2:$C$2474,3,false)</f>
        <v>#N/A</v>
      </c>
      <c r="H493" s="265" t="s">
        <v>20</v>
      </c>
      <c r="I493" s="266" t="e">
        <v>#N/A</v>
      </c>
    </row>
    <row r="494" hidden="1">
      <c r="A494" s="258">
        <v>679.0</v>
      </c>
      <c r="B494" s="258">
        <v>679.0</v>
      </c>
      <c r="C494" s="260">
        <v>506.0</v>
      </c>
      <c r="D494" s="260" t="str">
        <f>IFERROR(__xludf.DUMMYFUNCTION("if(B494&lt;=999,if(B494&lt;=99,IF(B494&lt;=9,join(,""000"",B494),join(,""00"",B494)),join(,""0"",B494)),B494)"),"0679")</f>
        <v>0679</v>
      </c>
      <c r="E494" s="262" t="s">
        <v>1147</v>
      </c>
      <c r="F494" s="263" t="str">
        <f>vlookup(B494,'Geotagging Master All-Training '!$A$2:$C$2474,2,false)</f>
        <v>#N/A</v>
      </c>
      <c r="G494" s="263" t="str">
        <f>vlookup(B494,'Geotagging Master All-Training '!$A$2:$C$2474,3,false)</f>
        <v>#N/A</v>
      </c>
      <c r="H494" s="265" t="s">
        <v>20</v>
      </c>
      <c r="I494" s="266"/>
    </row>
    <row r="495" hidden="1">
      <c r="A495" s="258">
        <v>621.0</v>
      </c>
      <c r="B495" s="258">
        <v>621.0</v>
      </c>
      <c r="C495" s="260">
        <v>507.0</v>
      </c>
      <c r="D495" s="260" t="str">
        <f>IFERROR(__xludf.DUMMYFUNCTION("if(B495&lt;=999,if(B495&lt;=99,IF(B495&lt;=9,join(,""000"",B495),join(,""00"",B495)),join(,""0"",B495)),B495)"),"0621")</f>
        <v>0621</v>
      </c>
      <c r="E495" s="262" t="s">
        <v>1150</v>
      </c>
      <c r="F495" s="263" t="str">
        <f>vlookup(B495,'Geotagging Master All-Training '!$A$2:$C$2474,2,false)</f>
        <v>#N/A</v>
      </c>
      <c r="G495" s="263" t="str">
        <f>vlookup(B495,'Geotagging Master All-Training '!$A$2:$C$2474,3,false)</f>
        <v>#N/A</v>
      </c>
      <c r="H495" s="265" t="s">
        <v>20</v>
      </c>
      <c r="I495" s="266">
        <v>16.0</v>
      </c>
    </row>
    <row r="496" hidden="1">
      <c r="A496" s="272">
        <v>947.0</v>
      </c>
      <c r="B496" s="272">
        <v>947.0</v>
      </c>
      <c r="C496" s="260">
        <v>508.0</v>
      </c>
      <c r="D496" s="273" t="str">
        <f>IFERROR(__xludf.DUMMYFUNCTION("if(B496&lt;=999,if(B496&lt;=99,IF(B496&lt;=9,join(,""000"",B496),join(,""00"",B496)),join(,""0"",B496)),B496)"),"0947")</f>
        <v>0947</v>
      </c>
      <c r="E496" s="304" t="s">
        <v>1152</v>
      </c>
      <c r="F496" s="263" t="str">
        <f>vlookup(B496,'Geotagging Master All-Training '!$A$2:$C$2474,2,false)</f>
        <v>#N/A</v>
      </c>
      <c r="G496" s="263" t="str">
        <f>vlookup(B496,'Geotagging Master All-Training '!$A$2:$C$2474,3,false)</f>
        <v>#N/A</v>
      </c>
      <c r="H496" s="276" t="s">
        <v>20</v>
      </c>
      <c r="I496" s="277"/>
    </row>
    <row r="497" hidden="1">
      <c r="A497" s="258">
        <v>1132.0</v>
      </c>
      <c r="B497" s="258">
        <v>1132.0</v>
      </c>
      <c r="C497" s="260">
        <v>509.0</v>
      </c>
      <c r="D497" s="260">
        <f>IFERROR(__xludf.DUMMYFUNCTION("if(B497&lt;=999,if(B497&lt;=99,IF(B497&lt;=9,join(,""000"",B497),join(,""00"",B497)),join(,""0"",B497)),B497)"),1132.0)</f>
        <v>1132</v>
      </c>
      <c r="E497" s="270" t="s">
        <v>1210</v>
      </c>
      <c r="F497" s="263" t="str">
        <f>vlookup(B497,'Geotagging Master All-Training '!$A$2:$C$2474,2,false)</f>
        <v>#N/A</v>
      </c>
      <c r="G497" s="263" t="str">
        <f>vlookup(B497,'Geotagging Master All-Training '!$A$2:$C$2474,3,false)</f>
        <v>#N/A</v>
      </c>
      <c r="H497" s="265" t="s">
        <v>20</v>
      </c>
      <c r="I497" s="266" t="e">
        <v>#N/A</v>
      </c>
    </row>
    <row r="498" hidden="1">
      <c r="A498" s="258">
        <v>948.0</v>
      </c>
      <c r="B498" s="258">
        <v>948.0</v>
      </c>
      <c r="C498" s="260">
        <v>510.0</v>
      </c>
      <c r="D498" s="260" t="str">
        <f>IFERROR(__xludf.DUMMYFUNCTION("if(B498&lt;=999,if(B498&lt;=99,IF(B498&lt;=9,join(,""000"",B498),join(,""00"",B498)),join(,""0"",B498)),B498)"),"0948")</f>
        <v>0948</v>
      </c>
      <c r="E498" s="270" t="s">
        <v>1288</v>
      </c>
      <c r="F498" s="263" t="str">
        <f>vlookup(B498,'Geotagging Master All-Training '!$A$2:$C$2474,2,false)</f>
        <v>#N/A</v>
      </c>
      <c r="G498" s="263" t="str">
        <f>vlookup(B498,'Geotagging Master All-Training '!$A$2:$C$2474,3,false)</f>
        <v>#N/A</v>
      </c>
      <c r="H498" s="265" t="s">
        <v>20</v>
      </c>
      <c r="I498" s="266"/>
    </row>
    <row r="499" hidden="1">
      <c r="A499" s="258">
        <v>977.0</v>
      </c>
      <c r="B499" s="258">
        <v>977.0</v>
      </c>
      <c r="C499" s="260">
        <v>511.0</v>
      </c>
      <c r="D499" s="260" t="str">
        <f>IFERROR(__xludf.DUMMYFUNCTION("if(B499&lt;=999,if(B499&lt;=99,IF(B499&lt;=9,join(,""000"",B499),join(,""00"",B499)),join(,""0"",B499)),B499)"),"0977")</f>
        <v>0977</v>
      </c>
      <c r="E499" s="262" t="s">
        <v>1159</v>
      </c>
      <c r="F499" s="263" t="str">
        <f>vlookup(B499,'Geotagging Master All-Training '!$A$2:$C$2474,2,false)</f>
        <v>#N/A</v>
      </c>
      <c r="G499" s="263" t="str">
        <f>vlookup(B499,'Geotagging Master All-Training '!$A$2:$C$2474,3,false)</f>
        <v>#N/A</v>
      </c>
      <c r="H499" s="265" t="s">
        <v>20</v>
      </c>
      <c r="I499" s="266">
        <v>80.0</v>
      </c>
    </row>
    <row r="500" hidden="1">
      <c r="A500" s="258">
        <v>1464.0</v>
      </c>
      <c r="B500" s="258">
        <v>1464.0</v>
      </c>
      <c r="C500" s="260">
        <v>512.0</v>
      </c>
      <c r="D500" s="260">
        <f>IFERROR(__xludf.DUMMYFUNCTION("if(B500&lt;=999,if(B500&lt;=99,IF(B500&lt;=9,join(,""000"",B500),join(,""00"",B500)),join(,""0"",B500)),B500)"),1464.0)</f>
        <v>1464</v>
      </c>
      <c r="E500" s="270" t="s">
        <v>150</v>
      </c>
      <c r="F500" s="263" t="str">
        <f>vlookup(B500,'Geotagging Master All-Training '!$A$2:$C$2474,2,false)</f>
        <v>#N/A</v>
      </c>
      <c r="G500" s="263" t="str">
        <f>vlookup(B500,'Geotagging Master All-Training '!$A$2:$C$2474,3,false)</f>
        <v>#N/A</v>
      </c>
      <c r="H500" s="265" t="s">
        <v>20</v>
      </c>
      <c r="I500" s="266"/>
    </row>
    <row r="501" hidden="1">
      <c r="A501" s="258">
        <v>641.0</v>
      </c>
      <c r="B501" s="258">
        <v>641.0</v>
      </c>
      <c r="C501" s="260">
        <v>513.0</v>
      </c>
      <c r="D501" s="260" t="str">
        <f>IFERROR(__xludf.DUMMYFUNCTION("if(B501&lt;=999,if(B501&lt;=99,IF(B501&lt;=9,join(,""000"",B501),join(,""00"",B501)),join(,""0"",B501)),B501)"),"0641")</f>
        <v>0641</v>
      </c>
      <c r="E501" s="270" t="s">
        <v>1161</v>
      </c>
      <c r="F501" s="263" t="str">
        <f>vlookup(B501,'Geotagging Master All-Training '!$A$2:$C$2474,2,false)</f>
        <v>#N/A</v>
      </c>
      <c r="G501" s="263" t="str">
        <f>vlookup(B501,'Geotagging Master All-Training '!$A$2:$C$2474,3,false)</f>
        <v>#N/A</v>
      </c>
      <c r="H501" s="265" t="s">
        <v>20</v>
      </c>
      <c r="I501" s="266"/>
    </row>
    <row r="502" hidden="1">
      <c r="A502" s="258">
        <v>1077.0</v>
      </c>
      <c r="B502" s="258">
        <v>1077.0</v>
      </c>
      <c r="C502" s="260">
        <v>514.0</v>
      </c>
      <c r="D502" s="260">
        <f>IFERROR(__xludf.DUMMYFUNCTION("if(B502&lt;=999,if(B502&lt;=99,IF(B502&lt;=9,join(,""000"",B502),join(,""00"",B502)),join(,""0"",B502)),B502)"),1077.0)</f>
        <v>1077</v>
      </c>
      <c r="E502" s="270" t="s">
        <v>1276</v>
      </c>
      <c r="F502" s="263" t="str">
        <f>vlookup(B502,'Geotagging Master All-Training '!$A$2:$C$2474,2,false)</f>
        <v>#N/A</v>
      </c>
      <c r="G502" s="263" t="str">
        <f>vlookup(B502,'Geotagging Master All-Training '!$A$2:$C$2474,3,false)</f>
        <v>#N/A</v>
      </c>
      <c r="H502" s="322" t="s">
        <v>20</v>
      </c>
      <c r="I502" s="323"/>
    </row>
    <row r="503" hidden="1">
      <c r="A503" s="258">
        <v>638.0</v>
      </c>
      <c r="B503" s="258">
        <v>638.0</v>
      </c>
      <c r="C503" s="260">
        <v>515.0</v>
      </c>
      <c r="D503" s="260" t="str">
        <f>IFERROR(__xludf.DUMMYFUNCTION("if(B503&lt;=999,if(B503&lt;=99,IF(B503&lt;=9,join(,""000"",B503),join(,""00"",B503)),join(,""0"",B503)),B503)"),"0638")</f>
        <v>0638</v>
      </c>
      <c r="E503" s="270" t="s">
        <v>1165</v>
      </c>
      <c r="F503" s="263" t="str">
        <f>vlookup(B503,'Geotagging Master All-Training '!$A$2:$C$2474,2,false)</f>
        <v>#N/A</v>
      </c>
      <c r="G503" s="263" t="str">
        <f>vlookup(B503,'Geotagging Master All-Training '!$A$2:$C$2474,3,false)</f>
        <v>#N/A</v>
      </c>
      <c r="H503" s="265" t="s">
        <v>20</v>
      </c>
      <c r="I503" s="266">
        <v>250001.0</v>
      </c>
    </row>
    <row r="504" hidden="1">
      <c r="A504" s="258">
        <v>1247.0</v>
      </c>
      <c r="B504" s="259">
        <v>1247.0</v>
      </c>
      <c r="C504" s="260">
        <v>516.0</v>
      </c>
      <c r="D504" s="260">
        <f>IFERROR(__xludf.DUMMYFUNCTION("if(B504&lt;=999,if(B504&lt;=99,IF(B504&lt;=9,join(,""000"",B504),join(,""00"",B504)),join(,""0"",B504)),B504)"),1247.0)</f>
        <v>1247</v>
      </c>
      <c r="E504" s="270" t="s">
        <v>1168</v>
      </c>
      <c r="F504" s="263" t="str">
        <f>vlookup(B504,'Geotagging Master All-Training '!$A$2:$C$2474,2,false)</f>
        <v>#N/A</v>
      </c>
      <c r="G504" s="263" t="str">
        <f>vlookup(B504,'Geotagging Master All-Training '!$A$2:$C$2474,3,false)</f>
        <v>#N/A</v>
      </c>
      <c r="H504" s="265" t="s">
        <v>20</v>
      </c>
      <c r="I504" s="266" t="s">
        <v>453</v>
      </c>
    </row>
    <row r="505" hidden="1">
      <c r="A505" s="258">
        <v>1449.0</v>
      </c>
      <c r="B505" s="258">
        <v>1449.0</v>
      </c>
      <c r="C505" s="260">
        <v>517.0</v>
      </c>
      <c r="D505" s="260">
        <f>IFERROR(__xludf.DUMMYFUNCTION("if(B505&lt;=999,if(B505&lt;=99,IF(B505&lt;=9,join(,""000"",B505),join(,""00"",B505)),join(,""0"",B505)),B505)"),1449.0)</f>
        <v>1449</v>
      </c>
      <c r="E505" s="270" t="s">
        <v>1156</v>
      </c>
      <c r="F505" s="263" t="str">
        <f>vlookup(B505,'Geotagging Master All-Training '!$A$2:$C$2474,2,false)</f>
        <v>#N/A</v>
      </c>
      <c r="G505" s="263" t="str">
        <f>vlookup(B505,'Geotagging Master All-Training '!$A$2:$C$2474,3,false)</f>
        <v>#N/A</v>
      </c>
      <c r="H505" s="265" t="s">
        <v>20</v>
      </c>
      <c r="I505" s="266"/>
    </row>
    <row r="506" hidden="1">
      <c r="A506" s="272">
        <v>1035.0</v>
      </c>
      <c r="B506" s="272">
        <v>1035.0</v>
      </c>
      <c r="C506" s="260">
        <v>518.0</v>
      </c>
      <c r="D506" s="273">
        <f>IFERROR(__xludf.DUMMYFUNCTION("if(B506&lt;=999,if(B506&lt;=99,IF(B506&lt;=9,join(,""000"",B506),join(,""00"",B506)),join(,""0"",B506)),B506)"),1035.0)</f>
        <v>1035</v>
      </c>
      <c r="E506" s="274" t="s">
        <v>1170</v>
      </c>
      <c r="F506" s="263" t="str">
        <f>vlookup(B506,'Geotagging Master All-Training '!$A$2:$C$2474,2,false)</f>
        <v>#N/A</v>
      </c>
      <c r="G506" s="263" t="str">
        <f>vlookup(B506,'Geotagging Master All-Training '!$A$2:$C$2474,3,false)</f>
        <v>#N/A</v>
      </c>
      <c r="H506" s="276" t="s">
        <v>20</v>
      </c>
      <c r="I506" s="277">
        <v>25001.0</v>
      </c>
    </row>
    <row r="507" hidden="1">
      <c r="A507" s="258">
        <v>226.0</v>
      </c>
      <c r="B507" s="258">
        <v>226.0</v>
      </c>
      <c r="C507" s="260">
        <v>519.0</v>
      </c>
      <c r="D507" s="260" t="str">
        <f>IFERROR(__xludf.DUMMYFUNCTION("if(B507&lt;=999,if(B507&lt;=99,IF(B507&lt;=9,join(,""000"",B507),join(,""00"",B507)),join(,""0"",B507)),B507)"),"0226")</f>
        <v>0226</v>
      </c>
      <c r="E507" s="270" t="s">
        <v>1173</v>
      </c>
      <c r="F507" s="263" t="str">
        <f>vlookup(B507,'Geotagging Master All-Training '!$A$2:$C$2474,2,false)</f>
        <v>#N/A</v>
      </c>
      <c r="G507" s="263" t="str">
        <f>vlookup(B507,'Geotagging Master All-Training '!$A$2:$C$2474,3,false)</f>
        <v>#N/A</v>
      </c>
      <c r="H507" s="265" t="s">
        <v>20</v>
      </c>
      <c r="I507" s="266">
        <v>250001.0</v>
      </c>
    </row>
    <row r="508" hidden="1">
      <c r="A508" s="258">
        <v>1228.0</v>
      </c>
      <c r="B508" s="258">
        <v>1228.0</v>
      </c>
      <c r="C508" s="260">
        <v>522.0</v>
      </c>
      <c r="D508" s="260">
        <f>IFERROR(__xludf.DUMMYFUNCTION("if(B508&lt;=999,if(B508&lt;=99,IF(B508&lt;=9,join(,""000"",B508),join(,""00"",B508)),join(,""0"",B508)),B508)"),1228.0)</f>
        <v>1228</v>
      </c>
      <c r="E508" s="270" t="s">
        <v>1176</v>
      </c>
      <c r="F508" s="263" t="str">
        <f>vlookup(B508,'Geotagging Master All-Training '!$A$2:$C$2474,2,false)</f>
        <v>#N/A</v>
      </c>
      <c r="G508" s="263" t="str">
        <f>vlookup(B508,'Geotagging Master All-Training '!$A$2:$C$2474,3,false)</f>
        <v>#N/A</v>
      </c>
      <c r="H508" s="265" t="s">
        <v>20</v>
      </c>
      <c r="I508" s="266" t="e">
        <v>#N/A</v>
      </c>
    </row>
    <row r="509" hidden="1">
      <c r="A509" s="258">
        <v>685.0</v>
      </c>
      <c r="B509" s="258">
        <v>685.0</v>
      </c>
      <c r="C509" s="273">
        <v>28.0</v>
      </c>
      <c r="D509" s="260" t="str">
        <f>IFERROR(__xludf.DUMMYFUNCTION("if(B509&lt;=999,if(B509&lt;=99,IF(B509&lt;=9,join(,""000"",B509),join(,""00"",B509)),join(,""0"",B509)),B509)"),"0685")</f>
        <v>0685</v>
      </c>
      <c r="E509" s="270" t="s">
        <v>681</v>
      </c>
      <c r="F509" s="263" t="str">
        <f>vlookup(B509,'Geotagging Master All-Training '!$A$2:$C$2474,2,false)</f>
        <v>#N/A</v>
      </c>
      <c r="G509" s="263" t="str">
        <f>vlookup(B509,'Geotagging Master All-Training '!$A$2:$C$2474,3,false)</f>
        <v>#N/A</v>
      </c>
      <c r="H509" s="265" t="s">
        <v>35</v>
      </c>
      <c r="I509" s="266"/>
    </row>
    <row r="510" hidden="1">
      <c r="A510" s="272">
        <v>1337.0</v>
      </c>
      <c r="B510" s="272">
        <v>1337.0</v>
      </c>
      <c r="C510" s="273">
        <v>525.0</v>
      </c>
      <c r="D510" s="273">
        <f>IFERROR(__xludf.DUMMYFUNCTION("if(B510&lt;=999,if(B510&lt;=99,IF(B510&lt;=9,join(,""000"",B510),join(,""00"",B510)),join(,""0"",B510)),B510)"),1337.0)</f>
        <v>1337</v>
      </c>
      <c r="E510" s="304" t="s">
        <v>349</v>
      </c>
      <c r="F510" s="303" t="str">
        <f>vlookup(B510,'Geotagging Master All-Training '!$A$2:$C$2474,2,false)</f>
        <v>#N/A</v>
      </c>
      <c r="G510" s="303" t="str">
        <f>vlookup(B510,'Geotagging Master All-Training '!$A$2:$C$2474,3,false)</f>
        <v>#N/A</v>
      </c>
      <c r="H510" s="276" t="s">
        <v>20</v>
      </c>
      <c r="I510" s="277">
        <v>25001.0</v>
      </c>
    </row>
    <row r="511" hidden="1">
      <c r="A511" s="258">
        <v>1441.0</v>
      </c>
      <c r="B511" s="259">
        <v>1441.0</v>
      </c>
      <c r="C511" s="260">
        <v>526.0</v>
      </c>
      <c r="D511" s="260">
        <f>IFERROR(__xludf.DUMMYFUNCTION("if(B511&lt;=999,if(B511&lt;=99,IF(B511&lt;=9,join(,""000"",B511),join(,""00"",B511)),join(,""0"",B511)),B511)"),1441.0)</f>
        <v>1441</v>
      </c>
      <c r="E511" s="270" t="s">
        <v>757</v>
      </c>
      <c r="F511" s="263" t="str">
        <f>vlookup(B511,'Geotagging Master All-Training '!$A$2:$C$2474,2,false)</f>
        <v>#N/A</v>
      </c>
      <c r="G511" s="263" t="str">
        <f>vlookup(B511,'Geotagging Master All-Training '!$A$2:$C$2474,3,false)</f>
        <v>#N/A</v>
      </c>
      <c r="H511" s="265" t="s">
        <v>20</v>
      </c>
      <c r="I511" s="266" t="e">
        <v>#N/A</v>
      </c>
    </row>
    <row r="512" hidden="1">
      <c r="A512" s="258">
        <v>1422.0</v>
      </c>
      <c r="B512" s="259">
        <v>1422.0</v>
      </c>
      <c r="C512" s="260">
        <v>527.0</v>
      </c>
      <c r="D512" s="260">
        <f>IFERROR(__xludf.DUMMYFUNCTION("if(B512&lt;=999,if(B512&lt;=99,IF(B512&lt;=9,join(,""000"",B512),join(,""00"",B512)),join(,""0"",B512)),B512)"),1422.0)</f>
        <v>1422</v>
      </c>
      <c r="E512" s="270" t="s">
        <v>776</v>
      </c>
      <c r="F512" s="263" t="str">
        <f>vlookup(B512,'Geotagging Master All-Training '!$A$2:$C$2474,2,false)</f>
        <v>#N/A</v>
      </c>
      <c r="G512" s="263" t="str">
        <f>vlookup(B512,'Geotagging Master All-Training '!$A$2:$C$2474,3,false)</f>
        <v>#N/A</v>
      </c>
      <c r="H512" s="265" t="s">
        <v>20</v>
      </c>
      <c r="I512" s="266"/>
    </row>
    <row r="513" hidden="1">
      <c r="A513" s="258">
        <v>462.0</v>
      </c>
      <c r="B513" s="258">
        <v>462.0</v>
      </c>
      <c r="C513" s="260">
        <v>529.0</v>
      </c>
      <c r="D513" s="260" t="str">
        <f>IFERROR(__xludf.DUMMYFUNCTION("if(B513&lt;=999,if(B513&lt;=99,IF(B513&lt;=9,join(,""000"",B513),join(,""00"",B513)),join(,""0"",B513)),B513)"),"0462")</f>
        <v>0462</v>
      </c>
      <c r="E513" s="270" t="s">
        <v>1185</v>
      </c>
      <c r="F513" s="263" t="str">
        <f>vlookup(B513,'Geotagging Master All-Training '!$A$2:$C$2474,2,false)</f>
        <v>#N/A</v>
      </c>
      <c r="G513" s="263" t="str">
        <f>vlookup(B513,'Geotagging Master All-Training '!$A$2:$C$2474,3,false)</f>
        <v>#N/A</v>
      </c>
      <c r="H513" s="265" t="s">
        <v>20</v>
      </c>
      <c r="I513" s="266">
        <v>8.0</v>
      </c>
    </row>
    <row r="514" hidden="1">
      <c r="A514" s="258">
        <v>1193.0</v>
      </c>
      <c r="B514" s="258">
        <v>1193.0</v>
      </c>
      <c r="C514" s="260">
        <v>530.0</v>
      </c>
      <c r="D514" s="260">
        <f>IFERROR(__xludf.DUMMYFUNCTION("if(B514&lt;=999,if(B514&lt;=99,IF(B514&lt;=9,join(,""000"",B514),join(,""00"",B514)),join(,""0"",B514)),B514)"),1193.0)</f>
        <v>1193</v>
      </c>
      <c r="E514" s="262" t="s">
        <v>1187</v>
      </c>
      <c r="F514" s="263" t="str">
        <f>vlookup(B514,'Geotagging Master All-Training '!$A$2:$C$2474,2,false)</f>
        <v>#N/A</v>
      </c>
      <c r="G514" s="263" t="str">
        <f>vlookup(B514,'Geotagging Master All-Training '!$A$2:$C$2474,3,false)</f>
        <v>#N/A</v>
      </c>
      <c r="H514" s="265" t="s">
        <v>20</v>
      </c>
      <c r="I514" s="266" t="s">
        <v>1188</v>
      </c>
    </row>
    <row r="515" hidden="1">
      <c r="A515" s="258">
        <v>1401.0</v>
      </c>
      <c r="B515" s="258">
        <v>1401.0</v>
      </c>
      <c r="C515" s="260">
        <v>531.0</v>
      </c>
      <c r="D515" s="260">
        <f>IFERROR(__xludf.DUMMYFUNCTION("if(B515&lt;=999,if(B515&lt;=99,IF(B515&lt;=9,join(,""000"",B515),join(,""00"",B515)),join(,""0"",B515)),B515)"),1401.0)</f>
        <v>1401</v>
      </c>
      <c r="E515" s="262" t="s">
        <v>1189</v>
      </c>
      <c r="F515" s="263" t="str">
        <f>vlookup(B515,'Geotagging Master All-Training '!$A$2:$C$2474,2,false)</f>
        <v>#N/A</v>
      </c>
      <c r="G515" s="263" t="str">
        <f>vlookup(B515,'Geotagging Master All-Training '!$A$2:$C$2474,3,false)</f>
        <v>#N/A</v>
      </c>
      <c r="H515" s="265" t="s">
        <v>20</v>
      </c>
      <c r="I515" s="266"/>
    </row>
    <row r="516" hidden="1">
      <c r="A516" s="258">
        <v>1339.0</v>
      </c>
      <c r="B516" s="258">
        <v>1339.0</v>
      </c>
      <c r="C516" s="260">
        <v>532.0</v>
      </c>
      <c r="D516" s="260">
        <f>IFERROR(__xludf.DUMMYFUNCTION("if(B516&lt;=999,if(B516&lt;=99,IF(B516&lt;=9,join(,""000"",B516),join(,""00"",B516)),join(,""0"",B516)),B516)"),1339.0)</f>
        <v>1339</v>
      </c>
      <c r="E516" s="262" t="s">
        <v>1192</v>
      </c>
      <c r="F516" s="263" t="str">
        <f>vlookup(B516,'Geotagging Master All-Training '!$A$2:$C$2474,2,false)</f>
        <v>#N/A</v>
      </c>
      <c r="G516" s="263" t="str">
        <f>vlookup(B516,'Geotagging Master All-Training '!$A$2:$C$2474,3,false)</f>
        <v>#N/A</v>
      </c>
      <c r="H516" s="265" t="s">
        <v>20</v>
      </c>
      <c r="I516" s="266" t="s">
        <v>1194</v>
      </c>
    </row>
    <row r="517" hidden="1">
      <c r="A517" s="258">
        <v>1338.0</v>
      </c>
      <c r="B517" s="258">
        <v>1338.0</v>
      </c>
      <c r="C517" s="260">
        <v>533.0</v>
      </c>
      <c r="D517" s="260">
        <f>IFERROR(__xludf.DUMMYFUNCTION("if(B517&lt;=999,if(B517&lt;=99,IF(B517&lt;=9,join(,""000"",B517),join(,""00"",B517)),join(,""0"",B517)),B517)"),1338.0)</f>
        <v>1338</v>
      </c>
      <c r="E517" s="262" t="s">
        <v>1195</v>
      </c>
      <c r="F517" s="263" t="str">
        <f>vlookup(B517,'Geotagging Master All-Training '!$A$2:$C$2474,2,false)</f>
        <v>#N/A</v>
      </c>
      <c r="G517" s="263" t="str">
        <f>vlookup(B517,'Geotagging Master All-Training '!$A$2:$C$2474,3,false)</f>
        <v>#N/A</v>
      </c>
      <c r="H517" s="265" t="s">
        <v>20</v>
      </c>
      <c r="I517" s="266">
        <v>6036.0</v>
      </c>
    </row>
    <row r="518" hidden="1">
      <c r="A518" s="258">
        <v>115.0</v>
      </c>
      <c r="B518" s="259">
        <v>115.0</v>
      </c>
      <c r="C518" s="260">
        <v>534.0</v>
      </c>
      <c r="D518" s="260" t="str">
        <f>IFERROR(__xludf.DUMMYFUNCTION("if(B518&lt;=999,if(B518&lt;=99,IF(B518&lt;=9,join(,""000"",B518),join(,""00"",B518)),join(,""0"",B518)),B518)"),"0115")</f>
        <v>0115</v>
      </c>
      <c r="E518" s="270" t="s">
        <v>1196</v>
      </c>
      <c r="F518" s="263" t="str">
        <f>vlookup(B518,'Geotagging Master All-Training '!$A$2:$C$2474,2,false)</f>
        <v>#N/A</v>
      </c>
      <c r="G518" s="263" t="str">
        <f>vlookup(B518,'Geotagging Master All-Training '!$A$2:$C$2474,3,false)</f>
        <v>#N/A</v>
      </c>
      <c r="H518" s="265" t="s">
        <v>20</v>
      </c>
      <c r="I518" s="266">
        <v>16.0</v>
      </c>
    </row>
    <row r="519" hidden="1">
      <c r="A519" s="258">
        <v>1351.0</v>
      </c>
      <c r="B519" s="259">
        <v>1351.0</v>
      </c>
      <c r="C519" s="260">
        <v>535.0</v>
      </c>
      <c r="D519" s="260">
        <f>IFERROR(__xludf.DUMMYFUNCTION("if(B519&lt;=999,if(B519&lt;=99,IF(B519&lt;=9,join(,""000"",B519),join(,""00"",B519)),join(,""0"",B519)),B519)"),1351.0)</f>
        <v>1351</v>
      </c>
      <c r="E519" s="270" t="s">
        <v>1197</v>
      </c>
      <c r="F519" s="263" t="str">
        <f>vlookup(B519,'Geotagging Master All-Training '!$A$2:$C$2474,2,false)</f>
        <v>#N/A</v>
      </c>
      <c r="G519" s="263" t="str">
        <f>vlookup(B519,'Geotagging Master All-Training '!$A$2:$C$2474,3,false)</f>
        <v>#N/A</v>
      </c>
      <c r="H519" s="265" t="s">
        <v>20</v>
      </c>
      <c r="I519" s="266" t="s">
        <v>1199</v>
      </c>
    </row>
    <row r="520" hidden="1">
      <c r="A520" s="258">
        <v>1231.0</v>
      </c>
      <c r="B520" s="258">
        <v>1231.0</v>
      </c>
      <c r="C520" s="260">
        <v>536.0</v>
      </c>
      <c r="D520" s="260">
        <f>IFERROR(__xludf.DUMMYFUNCTION("if(B520&lt;=999,if(B520&lt;=99,IF(B520&lt;=9,join(,""000"",B520),join(,""00"",B520)),join(,""0"",B520)),B520)"),1231.0)</f>
        <v>1231</v>
      </c>
      <c r="E520" s="262" t="s">
        <v>1200</v>
      </c>
      <c r="F520" s="263" t="str">
        <f>vlookup(B520,'Geotagging Master All-Training '!$A$2:$C$2474,2,false)</f>
        <v>#N/A</v>
      </c>
      <c r="G520" s="263" t="str">
        <f>vlookup(B520,'Geotagging Master All-Training '!$A$2:$C$2474,3,false)</f>
        <v>#N/A</v>
      </c>
      <c r="H520" s="265" t="s">
        <v>20</v>
      </c>
      <c r="I520" s="266" t="s">
        <v>1199</v>
      </c>
    </row>
    <row r="521" hidden="1">
      <c r="A521" s="258">
        <v>1319.0</v>
      </c>
      <c r="B521" s="259">
        <v>1319.0</v>
      </c>
      <c r="C521" s="260">
        <v>537.0</v>
      </c>
      <c r="D521" s="260">
        <f>IFERROR(__xludf.DUMMYFUNCTION("if(B521&lt;=999,if(B521&lt;=99,IF(B521&lt;=9,join(,""000"",B521),join(,""00"",B521)),join(,""0"",B521)),B521)"),1319.0)</f>
        <v>1319</v>
      </c>
      <c r="E521" s="262" t="s">
        <v>1201</v>
      </c>
      <c r="F521" s="263" t="str">
        <f>vlookup(B521,'Geotagging Master All-Training '!$A$2:$C$2474,2,false)</f>
        <v>#N/A</v>
      </c>
      <c r="G521" s="263" t="str">
        <f>vlookup(B521,'Geotagging Master All-Training '!$A$2:$C$2474,3,false)</f>
        <v>#N/A</v>
      </c>
      <c r="H521" s="265" t="s">
        <v>20</v>
      </c>
      <c r="I521" s="266" t="e">
        <v>#N/A</v>
      </c>
    </row>
    <row r="522" hidden="1">
      <c r="A522" s="258">
        <v>1434.0</v>
      </c>
      <c r="B522" s="258">
        <v>1434.0</v>
      </c>
      <c r="C522" s="260">
        <v>538.0</v>
      </c>
      <c r="D522" s="260">
        <f>IFERROR(__xludf.DUMMYFUNCTION("if(B522&lt;=999,if(B522&lt;=99,IF(B522&lt;=9,join(,""000"",B522),join(,""00"",B522)),join(,""0"",B522)),B522)"),1434.0)</f>
        <v>1434</v>
      </c>
      <c r="E522" s="270" t="s">
        <v>1202</v>
      </c>
      <c r="F522" s="263" t="str">
        <f>vlookup(B522,'Geotagging Master All-Training '!$A$2:$C$2474,2,false)</f>
        <v>#N/A</v>
      </c>
      <c r="G522" s="263" t="str">
        <f>vlookup(B522,'Geotagging Master All-Training '!$A$2:$C$2474,3,false)</f>
        <v>#N/A</v>
      </c>
      <c r="H522" s="265" t="s">
        <v>20</v>
      </c>
      <c r="I522" s="266"/>
    </row>
    <row r="523" hidden="1">
      <c r="A523" s="258">
        <v>1201.0</v>
      </c>
      <c r="B523" s="258">
        <v>1201.0</v>
      </c>
      <c r="C523" s="260">
        <v>539.0</v>
      </c>
      <c r="D523" s="260">
        <f>IFERROR(__xludf.DUMMYFUNCTION("if(B523&lt;=999,if(B523&lt;=99,IF(B523&lt;=9,join(,""000"",B523),join(,""00"",B523)),join(,""0"",B523)),B523)"),1201.0)</f>
        <v>1201</v>
      </c>
      <c r="E523" s="270" t="s">
        <v>1203</v>
      </c>
      <c r="F523" s="263" t="str">
        <f>vlookup(B523,'Geotagging Master All-Training '!$A$2:$C$2474,2,false)</f>
        <v>#N/A</v>
      </c>
      <c r="G523" s="263" t="str">
        <f>vlookup(B523,'Geotagging Master All-Training '!$A$2:$C$2474,3,false)</f>
        <v>#N/A</v>
      </c>
      <c r="H523" s="265" t="s">
        <v>20</v>
      </c>
      <c r="I523" s="266"/>
    </row>
    <row r="524" hidden="1">
      <c r="A524" s="258">
        <v>463.0</v>
      </c>
      <c r="B524" s="258">
        <v>463.0</v>
      </c>
      <c r="C524" s="260">
        <v>540.0</v>
      </c>
      <c r="D524" s="260" t="str">
        <f>IFERROR(__xludf.DUMMYFUNCTION("if(B524&lt;=999,if(B524&lt;=99,IF(B524&lt;=9,join(,""000"",B524),join(,""00"",B524)),join(,""0"",B524)),B524)"),"0463")</f>
        <v>0463</v>
      </c>
      <c r="E524" s="270" t="s">
        <v>1204</v>
      </c>
      <c r="F524" s="263" t="str">
        <f>vlookup(B524,'Geotagging Master All-Training '!$A$2:$C$2474,2,false)</f>
        <v>#N/A</v>
      </c>
      <c r="G524" s="263" t="str">
        <f>vlookup(B524,'Geotagging Master All-Training '!$A$2:$C$2474,3,false)</f>
        <v>#N/A</v>
      </c>
      <c r="H524" s="265" t="s">
        <v>20</v>
      </c>
      <c r="I524" s="266">
        <v>16.0</v>
      </c>
    </row>
    <row r="525" hidden="1">
      <c r="A525" s="258">
        <v>1196.0</v>
      </c>
      <c r="B525" s="258">
        <v>1196.0</v>
      </c>
      <c r="C525" s="260">
        <v>541.0</v>
      </c>
      <c r="D525" s="260">
        <f>IFERROR(__xludf.DUMMYFUNCTION("if(B525&lt;=999,if(B525&lt;=99,IF(B525&lt;=9,join(,""000"",B525),join(,""00"",B525)),join(,""0"",B525)),B525)"),1196.0)</f>
        <v>1196</v>
      </c>
      <c r="E525" s="270" t="s">
        <v>1205</v>
      </c>
      <c r="F525" s="263" t="str">
        <f>vlookup(B525,'Geotagging Master All-Training '!$A$2:$C$2474,2,false)</f>
        <v>#N/A</v>
      </c>
      <c r="G525" s="263" t="str">
        <f>vlookup(B525,'Geotagging Master All-Training '!$A$2:$C$2474,3,false)</f>
        <v>#N/A</v>
      </c>
      <c r="H525" s="265" t="s">
        <v>20</v>
      </c>
      <c r="I525" s="266">
        <v>16.0</v>
      </c>
    </row>
    <row r="526" hidden="1">
      <c r="A526" s="258">
        <v>22.0</v>
      </c>
      <c r="B526" s="259">
        <v>22.0</v>
      </c>
      <c r="C526" s="260">
        <v>542.0</v>
      </c>
      <c r="D526" s="260" t="str">
        <f>IFERROR(__xludf.DUMMYFUNCTION("if(B526&lt;=999,if(B526&lt;=99,IF(B526&lt;=9,join(,""000"",B526),join(,""00"",B526)),join(,""0"",B526)),B526)"),"0022")</f>
        <v>0022</v>
      </c>
      <c r="E526" s="262" t="s">
        <v>1206</v>
      </c>
      <c r="F526" s="263" t="str">
        <f>vlookup(B526,'Geotagging Master All-Training '!$A$2:$C$2474,2,false)</f>
        <v>#N/A</v>
      </c>
      <c r="G526" s="263" t="str">
        <f>vlookup(B526,'Geotagging Master All-Training '!$A$2:$C$2474,3,false)</f>
        <v>#N/A</v>
      </c>
      <c r="H526" s="265" t="s">
        <v>20</v>
      </c>
      <c r="I526" s="266">
        <v>16.0</v>
      </c>
    </row>
    <row r="527" hidden="1">
      <c r="A527" s="258">
        <v>1407.0</v>
      </c>
      <c r="B527" s="258">
        <v>1407.0</v>
      </c>
      <c r="C527" s="260">
        <v>543.0</v>
      </c>
      <c r="D527" s="260">
        <f>IFERROR(__xludf.DUMMYFUNCTION("if(B527&lt;=999,if(B527&lt;=99,IF(B527&lt;=9,join(,""000"",B527),join(,""00"",B527)),join(,""0"",B527)),B527)"),1407.0)</f>
        <v>1407</v>
      </c>
      <c r="E527" s="262" t="s">
        <v>1208</v>
      </c>
      <c r="F527" s="263" t="str">
        <f>vlookup(B527,'Geotagging Master All-Training '!$A$2:$C$2474,2,false)</f>
        <v>#N/A</v>
      </c>
      <c r="G527" s="263" t="str">
        <f>vlookup(B527,'Geotagging Master All-Training '!$A$2:$C$2474,3,false)</f>
        <v>#N/A</v>
      </c>
      <c r="H527" s="265" t="s">
        <v>20</v>
      </c>
      <c r="I527" s="266">
        <v>80.0</v>
      </c>
    </row>
    <row r="528" hidden="1">
      <c r="A528" s="258">
        <v>234.0</v>
      </c>
      <c r="B528" s="259">
        <v>234.0</v>
      </c>
      <c r="C528" s="260">
        <v>544.0</v>
      </c>
      <c r="D528" s="260" t="str">
        <f>IFERROR(__xludf.DUMMYFUNCTION("if(B528&lt;=999,if(B528&lt;=99,IF(B528&lt;=9,join(,""000"",B528),join(,""00"",B528)),join(,""0"",B528)),B528)"),"0234")</f>
        <v>0234</v>
      </c>
      <c r="E528" s="270" t="s">
        <v>793</v>
      </c>
      <c r="F528" s="263" t="str">
        <f>vlookup(B528,'Geotagging Master All-Training '!$A$2:$C$2474,2,false)</f>
        <v>#N/A</v>
      </c>
      <c r="G528" s="263" t="str">
        <f>vlookup(B528,'Geotagging Master All-Training '!$A$2:$C$2474,3,false)</f>
        <v>#N/A</v>
      </c>
      <c r="H528" s="265" t="s">
        <v>20</v>
      </c>
      <c r="I528" s="266" t="s">
        <v>794</v>
      </c>
    </row>
    <row r="529" hidden="1">
      <c r="A529" s="272">
        <v>529.0</v>
      </c>
      <c r="B529" s="272">
        <v>529.0</v>
      </c>
      <c r="C529" s="260">
        <v>545.0</v>
      </c>
      <c r="D529" s="273" t="str">
        <f>IFERROR(__xludf.DUMMYFUNCTION("if(B529&lt;=999,if(B529&lt;=99,IF(B529&lt;=9,join(,""000"",B529),join(,""00"",B529)),join(,""0"",B529)),B529)"),"0529")</f>
        <v>0529</v>
      </c>
      <c r="E529" s="304" t="s">
        <v>1211</v>
      </c>
      <c r="F529" s="263" t="str">
        <f>vlookup(B529,'Geotagging Master All-Training '!$A$2:$C$2474,2,false)</f>
        <v>#N/A</v>
      </c>
      <c r="G529" s="263" t="str">
        <f>vlookup(B529,'Geotagging Master All-Training '!$A$2:$C$2474,3,false)</f>
        <v>#N/A</v>
      </c>
      <c r="H529" s="276" t="s">
        <v>20</v>
      </c>
      <c r="I529" s="277">
        <v>5000.0</v>
      </c>
    </row>
    <row r="530" hidden="1">
      <c r="A530" s="272">
        <v>235.0</v>
      </c>
      <c r="B530" s="272">
        <v>235.0</v>
      </c>
      <c r="C530" s="260">
        <v>546.0</v>
      </c>
      <c r="D530" s="273" t="str">
        <f>IFERROR(__xludf.DUMMYFUNCTION("if(B530&lt;=999,if(B530&lt;=99,IF(B530&lt;=9,join(,""000"",B530),join(,""00"",B530)),join(,""0"",B530)),B530)"),"0235")</f>
        <v>0235</v>
      </c>
      <c r="E530" s="274" t="s">
        <v>1213</v>
      </c>
      <c r="F530" s="263" t="str">
        <f>vlookup(B530,'Geotagging Master All-Training '!$A$2:$C$2474,2,false)</f>
        <v>#N/A</v>
      </c>
      <c r="G530" s="263" t="str">
        <f>vlookup(B530,'Geotagging Master All-Training '!$A$2:$C$2474,3,false)</f>
        <v>#N/A</v>
      </c>
      <c r="H530" s="276" t="s">
        <v>20</v>
      </c>
      <c r="I530" s="277" t="s">
        <v>1214</v>
      </c>
    </row>
    <row r="531" hidden="1">
      <c r="A531" s="272">
        <v>1145.0</v>
      </c>
      <c r="B531" s="272">
        <v>1145.0</v>
      </c>
      <c r="C531" s="260">
        <v>548.0</v>
      </c>
      <c r="D531" s="273">
        <f>IFERROR(__xludf.DUMMYFUNCTION("if(B531&lt;=999,if(B531&lt;=99,IF(B531&lt;=9,join(,""000"",B531),join(,""00"",B531)),join(,""0"",B531)),B531)"),1145.0)</f>
        <v>1145</v>
      </c>
      <c r="E531" s="304" t="s">
        <v>1216</v>
      </c>
      <c r="F531" s="263" t="str">
        <f>vlookup(B531,'Geotagging Master All-Training '!$A$2:$C$2474,2,false)</f>
        <v>#N/A</v>
      </c>
      <c r="G531" s="263" t="str">
        <f>vlookup(B531,'Geotagging Master All-Training '!$A$2:$C$2474,3,false)</f>
        <v>#N/A</v>
      </c>
      <c r="H531" s="276" t="s">
        <v>20</v>
      </c>
      <c r="I531" s="277">
        <v>36666.0</v>
      </c>
    </row>
    <row r="532" hidden="1">
      <c r="A532" s="258">
        <v>1040.0</v>
      </c>
      <c r="B532" s="259">
        <v>1040.0</v>
      </c>
      <c r="C532" s="260">
        <v>549.0</v>
      </c>
      <c r="D532" s="260">
        <f>IFERROR(__xludf.DUMMYFUNCTION("if(B532&lt;=999,if(B532&lt;=99,IF(B532&lt;=9,join(,""000"",B532),join(,""00"",B532)),join(,""0"",B532)),B532)"),1040.0)</f>
        <v>1040</v>
      </c>
      <c r="E532" s="270" t="s">
        <v>1218</v>
      </c>
      <c r="F532" s="263" t="str">
        <f>vlookup(B532,'Geotagging Master All-Training '!$A$2:$C$2474,2,false)</f>
        <v>#N/A</v>
      </c>
      <c r="G532" s="263" t="str">
        <f>vlookup(B532,'Geotagging Master All-Training '!$A$2:$C$2474,3,false)</f>
        <v>#N/A</v>
      </c>
      <c r="H532" s="265" t="s">
        <v>20</v>
      </c>
      <c r="I532" s="266">
        <v>91.0</v>
      </c>
    </row>
    <row r="533" hidden="1">
      <c r="A533" s="258">
        <v>78.0</v>
      </c>
      <c r="B533" s="258">
        <v>78.0</v>
      </c>
      <c r="C533" s="260">
        <v>550.0</v>
      </c>
      <c r="D533" s="260" t="str">
        <f>IFERROR(__xludf.DUMMYFUNCTION("if(B533&lt;=999,if(B533&lt;=99,IF(B533&lt;=9,join(,""000"",B533),join(,""00"",B533)),join(,""0"",B533)),B533)"),"0078")</f>
        <v>0078</v>
      </c>
      <c r="E533" s="270" t="s">
        <v>1048</v>
      </c>
      <c r="F533" s="263" t="str">
        <f>vlookup(B533,'Geotagging Master All-Training '!$A$2:$C$2474,2,false)</f>
        <v>#N/A</v>
      </c>
      <c r="G533" s="263" t="str">
        <f>vlookup(B533,'Geotagging Master All-Training '!$A$2:$C$2474,3,false)</f>
        <v>#N/A</v>
      </c>
      <c r="H533" s="265" t="s">
        <v>20</v>
      </c>
      <c r="I533" s="266" t="e">
        <v>#N/A</v>
      </c>
    </row>
    <row r="534" hidden="1">
      <c r="A534" s="258">
        <v>1448.0</v>
      </c>
      <c r="B534" s="258">
        <v>1448.0</v>
      </c>
      <c r="C534" s="260">
        <v>551.0</v>
      </c>
      <c r="D534" s="260">
        <f>IFERROR(__xludf.DUMMYFUNCTION("if(B534&lt;=999,if(B534&lt;=99,IF(B534&lt;=9,join(,""000"",B534),join(,""00"",B534)),join(,""0"",B534)),B534)"),1448.0)</f>
        <v>1448</v>
      </c>
      <c r="E534" s="262" t="s">
        <v>1221</v>
      </c>
      <c r="F534" s="263" t="str">
        <f>vlookup(B534,'Geotagging Master All-Training '!$A$2:$C$2474,2,false)</f>
        <v>#N/A</v>
      </c>
      <c r="G534" s="263" t="str">
        <f>vlookup(B534,'Geotagging Master All-Training '!$A$2:$C$2474,3,false)</f>
        <v>#N/A</v>
      </c>
      <c r="H534" s="265" t="s">
        <v>20</v>
      </c>
      <c r="I534" s="266">
        <v>81.0</v>
      </c>
    </row>
    <row r="535" hidden="1">
      <c r="A535" s="272">
        <v>230.0</v>
      </c>
      <c r="B535" s="272">
        <v>230.0</v>
      </c>
      <c r="C535" s="260">
        <v>552.0</v>
      </c>
      <c r="D535" s="273" t="str">
        <f>IFERROR(__xludf.DUMMYFUNCTION("if(B535&lt;=999,if(B535&lt;=99,IF(B535&lt;=9,join(,""000"",B535),join(,""00"",B535)),join(,""0"",B535)),B535)"),"0230")</f>
        <v>0230</v>
      </c>
      <c r="E535" s="304" t="s">
        <v>1222</v>
      </c>
      <c r="F535" s="263" t="str">
        <f>vlookup(B535,'Geotagging Master All-Training '!$A$2:$C$2474,2,false)</f>
        <v>#N/A</v>
      </c>
      <c r="G535" s="263" t="str">
        <f>vlookup(B535,'Geotagging Master All-Training '!$A$2:$C$2474,3,false)</f>
        <v>#N/A</v>
      </c>
      <c r="H535" s="276" t="s">
        <v>20</v>
      </c>
      <c r="I535" s="277" t="e">
        <v>#N/A</v>
      </c>
    </row>
    <row r="536" hidden="1">
      <c r="A536" s="258">
        <v>635.0</v>
      </c>
      <c r="B536" s="258">
        <v>635.0</v>
      </c>
      <c r="C536" s="260">
        <v>553.0</v>
      </c>
      <c r="D536" s="260" t="str">
        <f>IFERROR(__xludf.DUMMYFUNCTION("if(B536&lt;=999,if(B536&lt;=99,IF(B536&lt;=9,join(,""000"",B536),join(,""00"",B536)),join(,""0"",B536)),B536)"),"0635")</f>
        <v>0635</v>
      </c>
      <c r="E536" s="262" t="s">
        <v>1226</v>
      </c>
      <c r="F536" s="263" t="str">
        <f>vlookup(B536,'Geotagging Master All-Training '!$A$2:$C$2474,2,false)</f>
        <v>#N/A</v>
      </c>
      <c r="G536" s="263" t="str">
        <f>vlookup(B536,'Geotagging Master All-Training '!$A$2:$C$2474,3,false)</f>
        <v>#N/A</v>
      </c>
      <c r="H536" s="265" t="s">
        <v>20</v>
      </c>
      <c r="I536" s="266">
        <v>91.0</v>
      </c>
    </row>
    <row r="537" hidden="1">
      <c r="A537" s="272">
        <v>1357.0</v>
      </c>
      <c r="B537" s="272">
        <v>1357.0</v>
      </c>
      <c r="C537" s="260">
        <v>554.0</v>
      </c>
      <c r="D537" s="273">
        <f>IFERROR(__xludf.DUMMYFUNCTION("if(B537&lt;=999,if(B537&lt;=99,IF(B537&lt;=9,join(,""000"",B537),join(,""00"",B537)),join(,""0"",B537)),B537)"),1357.0)</f>
        <v>1357</v>
      </c>
      <c r="E537" s="274" t="s">
        <v>1230</v>
      </c>
      <c r="F537" s="263" t="str">
        <f>vlookup(B537,'Geotagging Master All-Training '!$A$2:$C$2474,2,false)</f>
        <v>#N/A</v>
      </c>
      <c r="G537" s="263" t="str">
        <f>vlookup(B537,'Geotagging Master All-Training '!$A$2:$C$2474,3,false)</f>
        <v>#N/A</v>
      </c>
      <c r="H537" s="276" t="s">
        <v>20</v>
      </c>
      <c r="I537" s="277">
        <v>16.0</v>
      </c>
    </row>
    <row r="538" hidden="1">
      <c r="A538" s="272">
        <v>246.0</v>
      </c>
      <c r="B538" s="272">
        <v>246.0</v>
      </c>
      <c r="C538" s="273">
        <v>573.0</v>
      </c>
      <c r="D538" s="273" t="str">
        <f>IFERROR(__xludf.DUMMYFUNCTION("if(B538&lt;=999,if(B538&lt;=99,IF(B538&lt;=9,join(,""000"",B538),join(,""00"",B538)),join(,""0"",B538)),B538)"),"0246")</f>
        <v>0246</v>
      </c>
      <c r="E538" s="304" t="s">
        <v>1263</v>
      </c>
      <c r="F538" s="303" t="str">
        <f>vlookup(B538,'Geotagging Master All-Training '!$A$2:$C$2474,2,false)</f>
        <v>#N/A</v>
      </c>
      <c r="G538" s="303" t="str">
        <f>vlookup(B538,'Geotagging Master All-Training '!$A$2:$C$2474,3,false)</f>
        <v>#N/A</v>
      </c>
      <c r="H538" s="276" t="s">
        <v>20</v>
      </c>
      <c r="I538" s="277">
        <v>80.0</v>
      </c>
    </row>
    <row r="539" hidden="1">
      <c r="A539" s="324">
        <v>955.0</v>
      </c>
      <c r="B539" s="324">
        <v>955.0</v>
      </c>
      <c r="C539" s="325">
        <v>556.0</v>
      </c>
      <c r="D539" s="325" t="str">
        <f>IFERROR(__xludf.DUMMYFUNCTION("if(B539&lt;=999,if(B539&lt;=99,IF(B539&lt;=9,join(,""000"",B539),join(,""00"",B539)),join(,""0"",B539)),B539)"),"0955")</f>
        <v>0955</v>
      </c>
      <c r="E539" s="326" t="s">
        <v>1234</v>
      </c>
      <c r="F539" s="327" t="str">
        <f>vlookup(B539,'Geotagging Master All-Training '!$A$2:$C$2474,2,false)</f>
        <v>#N/A</v>
      </c>
      <c r="G539" s="327" t="str">
        <f>vlookup(B539,'Geotagging Master All-Training '!$A$2:$C$2474,3,false)</f>
        <v>#N/A</v>
      </c>
      <c r="H539" s="328" t="s">
        <v>20</v>
      </c>
      <c r="I539" s="329"/>
    </row>
    <row r="540" hidden="1">
      <c r="A540" s="258">
        <v>1278.0</v>
      </c>
      <c r="B540" s="258">
        <v>1278.0</v>
      </c>
      <c r="C540" s="260">
        <v>557.0</v>
      </c>
      <c r="D540" s="260">
        <f>IFERROR(__xludf.DUMMYFUNCTION("if(B540&lt;=999,if(B540&lt;=99,IF(B540&lt;=9,join(,""000"",B540),join(,""00"",B540)),join(,""0"",B540)),B540)"),1278.0)</f>
        <v>1278</v>
      </c>
      <c r="E540" s="262" t="s">
        <v>1236</v>
      </c>
      <c r="F540" s="263" t="str">
        <f>vlookup(B540,'Geotagging Master All-Training '!$A$2:$C$2474,2,false)</f>
        <v>#N/A</v>
      </c>
      <c r="G540" s="263" t="str">
        <f>vlookup(B540,'Geotagging Master All-Training '!$A$2:$C$2474,3,false)</f>
        <v>#N/A</v>
      </c>
      <c r="H540" s="265" t="s">
        <v>20</v>
      </c>
      <c r="I540" s="266" t="s">
        <v>1238</v>
      </c>
    </row>
    <row r="541" hidden="1">
      <c r="A541" s="272">
        <v>1261.0</v>
      </c>
      <c r="B541" s="272">
        <v>1261.0</v>
      </c>
      <c r="C541" s="260">
        <v>558.0</v>
      </c>
      <c r="D541" s="273">
        <f>IFERROR(__xludf.DUMMYFUNCTION("if(B541&lt;=999,if(B541&lt;=99,IF(B541&lt;=9,join(,""000"",B541),join(,""00"",B541)),join(,""0"",B541)),B541)"),1261.0)</f>
        <v>1261</v>
      </c>
      <c r="E541" s="274" t="s">
        <v>1239</v>
      </c>
      <c r="F541" s="263" t="str">
        <f>vlookup(B541,'Geotagging Master All-Training '!$A$2:$C$2474,2,false)</f>
        <v>#N/A</v>
      </c>
      <c r="G541" s="263" t="str">
        <f>vlookup(B541,'Geotagging Master All-Training '!$A$2:$C$2474,3,false)</f>
        <v>#N/A</v>
      </c>
      <c r="H541" s="276" t="s">
        <v>20</v>
      </c>
      <c r="I541" s="277">
        <v>25001.0</v>
      </c>
    </row>
    <row r="542" hidden="1">
      <c r="A542" s="258">
        <v>1259.0</v>
      </c>
      <c r="B542" s="258">
        <v>1259.0</v>
      </c>
      <c r="C542" s="260">
        <v>559.0</v>
      </c>
      <c r="D542" s="260">
        <f>IFERROR(__xludf.DUMMYFUNCTION("if(B542&lt;=999,if(B542&lt;=99,IF(B542&lt;=9,join(,""000"",B542),join(,""00"",B542)),join(,""0"",B542)),B542)"),1259.0)</f>
        <v>1259</v>
      </c>
      <c r="E542" s="270" t="s">
        <v>1240</v>
      </c>
      <c r="F542" s="263" t="str">
        <f>vlookup(B542,'Geotagging Master All-Training '!$A$2:$C$2474,2,false)</f>
        <v>#N/A</v>
      </c>
      <c r="G542" s="263" t="str">
        <f>vlookup(B542,'Geotagging Master All-Training '!$A$2:$C$2474,3,false)</f>
        <v>#N/A</v>
      </c>
      <c r="H542" s="265" t="s">
        <v>20</v>
      </c>
      <c r="I542" s="266" t="e">
        <v>#N/A</v>
      </c>
    </row>
    <row r="543" hidden="1">
      <c r="A543" s="258">
        <v>1321.0</v>
      </c>
      <c r="B543" s="258">
        <v>1321.0</v>
      </c>
      <c r="C543" s="260">
        <v>560.0</v>
      </c>
      <c r="D543" s="260">
        <f>IFERROR(__xludf.DUMMYFUNCTION("if(B543&lt;=999,if(B543&lt;=99,IF(B543&lt;=9,join(,""000"",B543),join(,""00"",B543)),join(,""0"",B543)),B543)"),1321.0)</f>
        <v>1321</v>
      </c>
      <c r="E543" s="270" t="s">
        <v>1241</v>
      </c>
      <c r="F543" s="263" t="str">
        <f>vlookup(B543,'Geotagging Master All-Training '!$A$2:$C$2474,2,false)</f>
        <v>#N/A</v>
      </c>
      <c r="G543" s="263" t="str">
        <f>vlookup(B543,'Geotagging Master All-Training '!$A$2:$C$2474,3,false)</f>
        <v>#N/A</v>
      </c>
      <c r="H543" s="265" t="s">
        <v>20</v>
      </c>
      <c r="I543" s="266" t="s">
        <v>1244</v>
      </c>
    </row>
    <row r="544" hidden="1">
      <c r="A544" s="258">
        <v>252.0</v>
      </c>
      <c r="B544" s="258">
        <v>252.0</v>
      </c>
      <c r="C544" s="260">
        <v>561.0</v>
      </c>
      <c r="D544" s="260" t="str">
        <f>IFERROR(__xludf.DUMMYFUNCTION("if(B544&lt;=999,if(B544&lt;=99,IF(B544&lt;=9,join(,""000"",B544),join(,""00"",B544)),join(,""0"",B544)),B544)"),"0252")</f>
        <v>0252</v>
      </c>
      <c r="E544" s="262" t="s">
        <v>1246</v>
      </c>
      <c r="F544" s="263" t="str">
        <f>vlookup(B544,'Geotagging Master All-Training '!$A$2:$C$2474,2,false)</f>
        <v>#N/A</v>
      </c>
      <c r="G544" s="263" t="str">
        <f>vlookup(B544,'Geotagging Master All-Training '!$A$2:$C$2474,3,false)</f>
        <v>#N/A</v>
      </c>
      <c r="H544" s="265" t="s">
        <v>20</v>
      </c>
      <c r="I544" s="266">
        <v>8081.0</v>
      </c>
    </row>
    <row r="545" hidden="1">
      <c r="A545" s="258">
        <v>633.0</v>
      </c>
      <c r="B545" s="258">
        <v>633.0</v>
      </c>
      <c r="C545" s="260">
        <v>562.0</v>
      </c>
      <c r="D545" s="260" t="str">
        <f>IFERROR(__xludf.DUMMYFUNCTION("if(B545&lt;=999,if(B545&lt;=99,IF(B545&lt;=9,join(,""000"",B545),join(,""00"",B545)),join(,""0"",B545)),B545)"),"0633")</f>
        <v>0633</v>
      </c>
      <c r="E545" s="270" t="s">
        <v>1249</v>
      </c>
      <c r="F545" s="263" t="str">
        <f>vlookup(B545,'Geotagging Master All-Training '!$A$2:$C$2474,2,false)</f>
        <v>#N/A</v>
      </c>
      <c r="G545" s="263" t="str">
        <f>vlookup(B545,'Geotagging Master All-Training '!$A$2:$C$2474,3,false)</f>
        <v>#N/A</v>
      </c>
      <c r="H545" s="265" t="s">
        <v>20</v>
      </c>
      <c r="I545" s="266"/>
    </row>
    <row r="546" hidden="1">
      <c r="A546" s="258">
        <v>1150.0</v>
      </c>
      <c r="B546" s="258">
        <v>1150.0</v>
      </c>
      <c r="C546" s="260">
        <v>563.0</v>
      </c>
      <c r="D546" s="260">
        <f>IFERROR(__xludf.DUMMYFUNCTION("if(B546&lt;=999,if(B546&lt;=99,IF(B546&lt;=9,join(,""000"",B546),join(,""00"",B546)),join(,""0"",B546)),B546)"),1150.0)</f>
        <v>1150</v>
      </c>
      <c r="E546" s="270" t="s">
        <v>1251</v>
      </c>
      <c r="F546" s="263" t="str">
        <f>vlookup(B546,'Geotagging Master All-Training '!$A$2:$C$2474,2,false)</f>
        <v>#N/A</v>
      </c>
      <c r="G546" s="263" t="str">
        <f>vlookup(B546,'Geotagging Master All-Training '!$A$2:$C$2474,3,false)</f>
        <v>#N/A</v>
      </c>
      <c r="H546" s="265" t="s">
        <v>20</v>
      </c>
      <c r="I546" s="266">
        <v>7000.0</v>
      </c>
    </row>
    <row r="547" hidden="1">
      <c r="A547" s="258">
        <v>1147.0</v>
      </c>
      <c r="B547" s="258">
        <v>1147.0</v>
      </c>
      <c r="C547" s="260">
        <v>564.0</v>
      </c>
      <c r="D547" s="260">
        <f>IFERROR(__xludf.DUMMYFUNCTION("if(B547&lt;=999,if(B547&lt;=99,IF(B547&lt;=9,join(,""000"",B547),join(,""00"",B547)),join(,""0"",B547)),B547)"),1147.0)</f>
        <v>1147</v>
      </c>
      <c r="E547" s="262" t="s">
        <v>1252</v>
      </c>
      <c r="F547" s="263" t="str">
        <f>vlookup(B547,'Geotagging Master All-Training '!$A$2:$C$2474,2,false)</f>
        <v>#N/A</v>
      </c>
      <c r="G547" s="263" t="str">
        <f>vlookup(B547,'Geotagging Master All-Training '!$A$2:$C$2474,3,false)</f>
        <v>#N/A</v>
      </c>
      <c r="H547" s="265" t="s">
        <v>20</v>
      </c>
      <c r="I547" s="266">
        <v>25001.0</v>
      </c>
    </row>
    <row r="548" hidden="1">
      <c r="A548" s="258">
        <v>1243.0</v>
      </c>
      <c r="B548" s="258">
        <v>1243.0</v>
      </c>
      <c r="C548" s="260">
        <v>565.0</v>
      </c>
      <c r="D548" s="260">
        <f>IFERROR(__xludf.DUMMYFUNCTION("if(B548&lt;=999,if(B548&lt;=99,IF(B548&lt;=9,join(,""000"",B548),join(,""00"",B548)),join(,""0"",B548)),B548)"),1243.0)</f>
        <v>1243</v>
      </c>
      <c r="E548" s="262" t="s">
        <v>1254</v>
      </c>
      <c r="F548" s="263" t="str">
        <f>vlookup(B548,'Geotagging Master All-Training '!$A$2:$C$2474,2,false)</f>
        <v>#N/A</v>
      </c>
      <c r="G548" s="263" t="str">
        <f>vlookup(B548,'Geotagging Master All-Training '!$A$2:$C$2474,3,false)</f>
        <v>#N/A</v>
      </c>
      <c r="H548" s="265" t="s">
        <v>20</v>
      </c>
      <c r="I548" s="266" t="s">
        <v>1258</v>
      </c>
    </row>
    <row r="549" hidden="1">
      <c r="A549" s="258">
        <v>268.0</v>
      </c>
      <c r="B549" s="259">
        <v>268.0</v>
      </c>
      <c r="C549" s="260">
        <v>566.0</v>
      </c>
      <c r="D549" s="260" t="str">
        <f>IFERROR(__xludf.DUMMYFUNCTION("if(B549&lt;=999,if(B549&lt;=99,IF(B549&lt;=9,join(,""000"",B549),join(,""00"",B549)),join(,""0"",B549)),B549)"),"0268")</f>
        <v>0268</v>
      </c>
      <c r="E549" s="262" t="s">
        <v>1255</v>
      </c>
      <c r="F549" s="263" t="str">
        <f>vlookup(B549,'Geotagging Master All-Training '!$A$2:$C$2474,2,false)</f>
        <v>#N/A</v>
      </c>
      <c r="G549" s="263" t="str">
        <f>vlookup(B549,'Geotagging Master All-Training '!$A$2:$C$2474,3,false)</f>
        <v>#N/A</v>
      </c>
      <c r="H549" s="265" t="s">
        <v>20</v>
      </c>
      <c r="I549" s="266" t="s">
        <v>1258</v>
      </c>
    </row>
    <row r="550" hidden="1">
      <c r="A550" s="258">
        <v>282.0</v>
      </c>
      <c r="B550" s="258">
        <v>282.0</v>
      </c>
      <c r="C550" s="260">
        <v>567.0</v>
      </c>
      <c r="D550" s="260" t="str">
        <f>IFERROR(__xludf.DUMMYFUNCTION("if(B550&lt;=999,if(B550&lt;=99,IF(B550&lt;=9,join(,""000"",B550),join(,""00"",B550)),join(,""0"",B550)),B550)"),"0282")</f>
        <v>0282</v>
      </c>
      <c r="E550" s="262" t="s">
        <v>1256</v>
      </c>
      <c r="F550" s="263" t="str">
        <f>vlookup(B550,'Geotagging Master All-Training '!$A$2:$C$2474,2,false)</f>
        <v>#N/A</v>
      </c>
      <c r="G550" s="263" t="str">
        <f>vlookup(B550,'Geotagging Master All-Training '!$A$2:$C$2474,3,false)</f>
        <v>#N/A</v>
      </c>
      <c r="H550" s="265" t="s">
        <v>20</v>
      </c>
      <c r="I550" s="266" t="s">
        <v>1258</v>
      </c>
    </row>
    <row r="551" hidden="1">
      <c r="A551" s="258">
        <v>678.0</v>
      </c>
      <c r="B551" s="258">
        <v>678.0</v>
      </c>
      <c r="C551" s="260">
        <v>568.0</v>
      </c>
      <c r="D551" s="260" t="str">
        <f>IFERROR(__xludf.DUMMYFUNCTION("if(B551&lt;=999,if(B551&lt;=99,IF(B551&lt;=9,join(,""000"",B551),join(,""00"",B551)),join(,""0"",B551)),B551)"),"0678")</f>
        <v>0678</v>
      </c>
      <c r="E551" s="262" t="s">
        <v>1257</v>
      </c>
      <c r="F551" s="263" t="str">
        <f>vlookup(B551,'Geotagging Master All-Training '!$A$2:$C$2474,2,false)</f>
        <v>#N/A</v>
      </c>
      <c r="G551" s="263" t="str">
        <f>vlookup(B551,'Geotagging Master All-Training '!$A$2:$C$2474,3,false)</f>
        <v>#N/A</v>
      </c>
      <c r="H551" s="265" t="s">
        <v>20</v>
      </c>
      <c r="I551" s="266" t="s">
        <v>1258</v>
      </c>
    </row>
    <row r="552" hidden="1">
      <c r="A552" s="258">
        <v>30.0</v>
      </c>
      <c r="B552" s="258">
        <v>30.0</v>
      </c>
      <c r="C552" s="260">
        <v>569.0</v>
      </c>
      <c r="D552" s="260" t="str">
        <f>IFERROR(__xludf.DUMMYFUNCTION("if(B552&lt;=999,if(B552&lt;=99,IF(B552&lt;=9,join(,""000"",B552),join(,""00"",B552)),join(,""0"",B552)),B552)"),"0030")</f>
        <v>0030</v>
      </c>
      <c r="E552" s="262" t="s">
        <v>1259</v>
      </c>
      <c r="F552" s="263" t="str">
        <f>vlookup(B552,'Geotagging Master All-Training '!$A$2:$C$2474,2,false)</f>
        <v>#N/A</v>
      </c>
      <c r="G552" s="263" t="str">
        <f>vlookup(B552,'Geotagging Master All-Training '!$A$2:$C$2474,3,false)</f>
        <v>#N/A</v>
      </c>
      <c r="H552" s="265" t="s">
        <v>20</v>
      </c>
      <c r="I552" s="266">
        <v>25001.0</v>
      </c>
    </row>
    <row r="553" hidden="1">
      <c r="A553" s="258">
        <v>343.0</v>
      </c>
      <c r="B553" s="258">
        <v>343.0</v>
      </c>
      <c r="C553" s="260">
        <v>570.0</v>
      </c>
      <c r="D553" s="260" t="str">
        <f>IFERROR(__xludf.DUMMYFUNCTION("if(B553&lt;=999,if(B553&lt;=99,IF(B553&lt;=9,join(,""000"",B553),join(,""00"",B553)),join(,""0"",B553)),B553)"),"0343")</f>
        <v>0343</v>
      </c>
      <c r="E553" s="270" t="s">
        <v>1260</v>
      </c>
      <c r="F553" s="263" t="str">
        <f>vlookup(B553,'Geotagging Master All-Training '!$A$2:$C$2474,2,false)</f>
        <v>#N/A</v>
      </c>
      <c r="G553" s="263" t="str">
        <f>vlookup(B553,'Geotagging Master All-Training '!$A$2:$C$2474,3,false)</f>
        <v>#N/A</v>
      </c>
      <c r="H553" s="265" t="s">
        <v>20</v>
      </c>
      <c r="I553" s="266">
        <v>16.0</v>
      </c>
    </row>
    <row r="554" hidden="1">
      <c r="A554" s="258">
        <v>1420.0</v>
      </c>
      <c r="B554" s="258">
        <v>1420.0</v>
      </c>
      <c r="C554" s="260">
        <v>571.0</v>
      </c>
      <c r="D554" s="260">
        <f>IFERROR(__xludf.DUMMYFUNCTION("if(B554&lt;=999,if(B554&lt;=99,IF(B554&lt;=9,join(,""000"",B554),join(,""00"",B554)),join(,""0"",B554)),B554)"),1420.0)</f>
        <v>1420</v>
      </c>
      <c r="E554" s="270" t="s">
        <v>1261</v>
      </c>
      <c r="F554" s="263" t="str">
        <f>vlookup(B554,'Geotagging Master All-Training '!$A$2:$C$2474,2,false)</f>
        <v>#N/A</v>
      </c>
      <c r="G554" s="263" t="str">
        <f>vlookup(B554,'Geotagging Master All-Training '!$A$2:$C$2474,3,false)</f>
        <v>#N/A</v>
      </c>
      <c r="H554" s="265" t="s">
        <v>20</v>
      </c>
      <c r="I554" s="266">
        <v>32.0</v>
      </c>
    </row>
    <row r="555" hidden="1">
      <c r="A555" s="258">
        <v>1408.0</v>
      </c>
      <c r="B555" s="259">
        <v>1408.0</v>
      </c>
      <c r="C555" s="260">
        <v>572.0</v>
      </c>
      <c r="D555" s="260">
        <f>IFERROR(__xludf.DUMMYFUNCTION("if(B555&lt;=999,if(B555&lt;=99,IF(B555&lt;=9,join(,""000"",B555),join(,""00"",B555)),join(,""0"",B555)),B555)"),1408.0)</f>
        <v>1408</v>
      </c>
      <c r="E555" s="270" t="s">
        <v>1262</v>
      </c>
      <c r="F555" s="263" t="str">
        <f>vlookup(B555,'Geotagging Master All-Training '!$A$2:$C$2474,2,false)</f>
        <v>#N/A</v>
      </c>
      <c r="G555" s="263" t="str">
        <f>vlookup(B555,'Geotagging Master All-Training '!$A$2:$C$2474,3,false)</f>
        <v>#N/A</v>
      </c>
      <c r="H555" s="265" t="s">
        <v>20</v>
      </c>
      <c r="I555" s="266">
        <v>8.0</v>
      </c>
    </row>
    <row r="556" hidden="1">
      <c r="A556" s="258">
        <v>1089.0</v>
      </c>
      <c r="B556" s="258">
        <v>1089.0</v>
      </c>
      <c r="C556" s="260">
        <v>574.0</v>
      </c>
      <c r="D556" s="260">
        <f>IFERROR(__xludf.DUMMYFUNCTION("if(B556&lt;=999,if(B556&lt;=99,IF(B556&lt;=9,join(,""000"",B556),join(,""00"",B556)),join(,""0"",B556)),B556)"),1089.0)</f>
        <v>1089</v>
      </c>
      <c r="E556" s="262" t="s">
        <v>1264</v>
      </c>
      <c r="F556" s="263" t="str">
        <f>vlookup(B556,'Geotagging Master All-Training '!$A$2:$C$2474,2,false)</f>
        <v>#N/A</v>
      </c>
      <c r="G556" s="263" t="str">
        <f>vlookup(B556,'Geotagging Master All-Training '!$A$2:$C$2474,3,false)</f>
        <v>#N/A</v>
      </c>
      <c r="H556" s="265" t="s">
        <v>20</v>
      </c>
      <c r="I556" s="266" t="e">
        <v>#N/A</v>
      </c>
    </row>
    <row r="557" hidden="1">
      <c r="A557" s="258">
        <v>1119.0</v>
      </c>
      <c r="B557" s="258">
        <v>1119.0</v>
      </c>
      <c r="C557" s="260">
        <v>575.0</v>
      </c>
      <c r="D557" s="260">
        <f>IFERROR(__xludf.DUMMYFUNCTION("if(B557&lt;=999,if(B557&lt;=99,IF(B557&lt;=9,join(,""000"",B557),join(,""00"",B557)),join(,""0"",B557)),B557)"),1119.0)</f>
        <v>1119</v>
      </c>
      <c r="E557" s="262" t="s">
        <v>1266</v>
      </c>
      <c r="F557" s="263" t="str">
        <f>vlookup(B557,'Geotagging Master All-Training '!$A$2:$C$2474,2,false)</f>
        <v>#N/A</v>
      </c>
      <c r="G557" s="263" t="str">
        <f>vlookup(B557,'Geotagging Master All-Training '!$A$2:$C$2474,3,false)</f>
        <v>#N/A</v>
      </c>
      <c r="H557" s="265" t="s">
        <v>20</v>
      </c>
      <c r="I557" s="266">
        <v>25001.0</v>
      </c>
    </row>
    <row r="558" hidden="1">
      <c r="A558" s="272">
        <v>1235.0</v>
      </c>
      <c r="B558" s="272">
        <v>1235.0</v>
      </c>
      <c r="C558" s="260">
        <v>576.0</v>
      </c>
      <c r="D558" s="273">
        <f>IFERROR(__xludf.DUMMYFUNCTION("if(B558&lt;=999,if(B558&lt;=99,IF(B558&lt;=9,join(,""000"",B558),join(,""00"",B558)),join(,""0"",B558)),B558)"),1235.0)</f>
        <v>1235</v>
      </c>
      <c r="E558" s="304" t="s">
        <v>1267</v>
      </c>
      <c r="F558" s="263" t="str">
        <f>vlookup(B558,'Geotagging Master All-Training '!$A$2:$C$2474,2,false)</f>
        <v>#N/A</v>
      </c>
      <c r="G558" s="263" t="str">
        <f>vlookup(B558,'Geotagging Master All-Training '!$A$2:$C$2474,3,false)</f>
        <v>#N/A</v>
      </c>
      <c r="H558" s="276" t="s">
        <v>20</v>
      </c>
      <c r="I558" s="277" t="s">
        <v>550</v>
      </c>
    </row>
    <row r="559" hidden="1">
      <c r="A559" s="258">
        <v>1272.0</v>
      </c>
      <c r="B559" s="258">
        <v>1272.0</v>
      </c>
      <c r="C559" s="260">
        <v>577.0</v>
      </c>
      <c r="D559" s="260">
        <f>IFERROR(__xludf.DUMMYFUNCTION("if(B559&lt;=999,if(B559&lt;=99,IF(B559&lt;=9,join(,""000"",B559),join(,""00"",B559)),join(,""0"",B559)),B559)"),1272.0)</f>
        <v>1272</v>
      </c>
      <c r="E559" s="262" t="s">
        <v>1269</v>
      </c>
      <c r="F559" s="263" t="str">
        <f>vlookup(B559,'Geotagging Master All-Training '!$A$2:$C$2474,2,false)</f>
        <v>#N/A</v>
      </c>
      <c r="G559" s="263" t="str">
        <f>vlookup(B559,'Geotagging Master All-Training '!$A$2:$C$2474,3,false)</f>
        <v>#N/A</v>
      </c>
      <c r="H559" s="265" t="s">
        <v>20</v>
      </c>
      <c r="I559" s="266"/>
    </row>
    <row r="560" hidden="1">
      <c r="A560" s="258">
        <v>1087.0</v>
      </c>
      <c r="B560" s="259">
        <v>1087.0</v>
      </c>
      <c r="C560" s="260">
        <v>578.0</v>
      </c>
      <c r="D560" s="260">
        <f>IFERROR(__xludf.DUMMYFUNCTION("if(B560&lt;=999,if(B560&lt;=99,IF(B560&lt;=9,join(,""000"",B560),join(,""00"",B560)),join(,""0"",B560)),B560)"),1087.0)</f>
        <v>1087</v>
      </c>
      <c r="E560" s="262" t="s">
        <v>1272</v>
      </c>
      <c r="F560" s="263" t="str">
        <f>vlookup(B560,'Geotagging Master All-Training '!$A$2:$C$2474,2,false)</f>
        <v>#N/A</v>
      </c>
      <c r="G560" s="263" t="str">
        <f>vlookup(B560,'Geotagging Master All-Training '!$A$2:$C$2474,3,false)</f>
        <v>#N/A</v>
      </c>
      <c r="H560" s="265" t="s">
        <v>20</v>
      </c>
      <c r="I560" s="266" t="e">
        <v>#N/A</v>
      </c>
    </row>
    <row r="561" hidden="1">
      <c r="A561" s="258">
        <v>1043.0</v>
      </c>
      <c r="B561" s="259">
        <v>1043.0</v>
      </c>
      <c r="C561" s="260">
        <v>579.0</v>
      </c>
      <c r="D561" s="260">
        <f>IFERROR(__xludf.DUMMYFUNCTION("if(B561&lt;=999,if(B561&lt;=99,IF(B561&lt;=9,join(,""000"",B561),join(,""00"",B561)),join(,""0"",B561)),B561)"),1043.0)</f>
        <v>1043</v>
      </c>
      <c r="E561" s="262" t="s">
        <v>1274</v>
      </c>
      <c r="F561" s="263" t="str">
        <f>vlookup(B561,'Geotagging Master All-Training '!$A$2:$C$2474,2,false)</f>
        <v>#N/A</v>
      </c>
      <c r="G561" s="263" t="str">
        <f>vlookup(B561,'Geotagging Master All-Training '!$A$2:$C$2474,3,false)</f>
        <v>#N/A</v>
      </c>
      <c r="H561" s="265" t="s">
        <v>20</v>
      </c>
      <c r="I561" s="266">
        <v>54.0</v>
      </c>
    </row>
    <row r="562" hidden="1">
      <c r="A562" s="258">
        <v>369.0</v>
      </c>
      <c r="B562" s="259">
        <v>369.0</v>
      </c>
      <c r="C562" s="260">
        <v>580.0</v>
      </c>
      <c r="D562" s="260" t="str">
        <f>IFERROR(__xludf.DUMMYFUNCTION("if(B562&lt;=999,if(B562&lt;=99,IF(B562&lt;=9,join(,""000"",B562),join(,""00"",B562)),join(,""0"",B562)),B562)"),"0369")</f>
        <v>0369</v>
      </c>
      <c r="E562" s="270" t="s">
        <v>1275</v>
      </c>
      <c r="F562" s="263" t="str">
        <f>vlookup(B562,'Geotagging Master All-Training '!$A$2:$C$2474,2,false)</f>
        <v>#N/A</v>
      </c>
      <c r="G562" s="263" t="str">
        <f>vlookup(B562,'Geotagging Master All-Training '!$A$2:$C$2474,3,false)</f>
        <v>#N/A</v>
      </c>
      <c r="H562" s="265" t="s">
        <v>20</v>
      </c>
      <c r="I562" s="266">
        <v>16.0</v>
      </c>
    </row>
    <row r="563" hidden="1">
      <c r="A563" s="258">
        <v>410.0</v>
      </c>
      <c r="B563" s="259">
        <v>410.0</v>
      </c>
      <c r="C563" s="260">
        <v>581.0</v>
      </c>
      <c r="D563" s="260" t="str">
        <f>IFERROR(__xludf.DUMMYFUNCTION("if(B563&lt;=999,if(B563&lt;=99,IF(B563&lt;=9,join(,""000"",B563),join(,""00"",B563)),join(,""0"",B563)),B563)"),"0410")</f>
        <v>0410</v>
      </c>
      <c r="E563" s="270" t="s">
        <v>1050</v>
      </c>
      <c r="F563" s="263" t="str">
        <f>vlookup(B563,'Geotagging Master All-Training '!$A$2:$C$2474,2,false)</f>
        <v>#N/A</v>
      </c>
      <c r="G563" s="263" t="str">
        <f>vlookup(B563,'Geotagging Master All-Training '!$A$2:$C$2474,3,false)</f>
        <v>#N/A</v>
      </c>
      <c r="H563" s="265" t="s">
        <v>20</v>
      </c>
      <c r="I563" s="266" t="s">
        <v>1051</v>
      </c>
    </row>
    <row r="564" hidden="1">
      <c r="A564" s="258">
        <v>754.0</v>
      </c>
      <c r="B564" s="259">
        <v>754.0</v>
      </c>
      <c r="C564" s="260">
        <v>582.0</v>
      </c>
      <c r="D564" s="260" t="str">
        <f>IFERROR(__xludf.DUMMYFUNCTION("if(B564&lt;=999,if(B564&lt;=99,IF(B564&lt;=9,join(,""000"",B564),join(,""00"",B564)),join(,""0"",B564)),B564)"),"0754")</f>
        <v>0754</v>
      </c>
      <c r="E564" s="270" t="s">
        <v>1277</v>
      </c>
      <c r="F564" s="263" t="str">
        <f>vlookup(B564,'Geotagging Master All-Training '!$A$2:$C$2474,2,false)</f>
        <v>#N/A</v>
      </c>
      <c r="G564" s="263" t="str">
        <f>vlookup(B564,'Geotagging Master All-Training '!$A$2:$C$2474,3,false)</f>
        <v>#N/A</v>
      </c>
      <c r="H564" s="265" t="s">
        <v>20</v>
      </c>
      <c r="I564" s="266" t="s">
        <v>1278</v>
      </c>
    </row>
    <row r="565" hidden="1">
      <c r="A565" s="258">
        <v>913.0</v>
      </c>
      <c r="B565" s="258">
        <v>913.0</v>
      </c>
      <c r="C565" s="260">
        <v>583.0</v>
      </c>
      <c r="D565" s="260" t="str">
        <f>IFERROR(__xludf.DUMMYFUNCTION("if(B565&lt;=999,if(B565&lt;=99,IF(B565&lt;=9,join(,""000"",B565),join(,""00"",B565)),join(,""0"",B565)),B565)"),"0913")</f>
        <v>0913</v>
      </c>
      <c r="E565" s="262" t="s">
        <v>1279</v>
      </c>
      <c r="F565" s="263" t="str">
        <f>vlookup(B565,'Geotagging Master All-Training '!$A$2:$C$2474,2,false)</f>
        <v>#N/A</v>
      </c>
      <c r="G565" s="263" t="str">
        <f>vlookup(B565,'Geotagging Master All-Training '!$A$2:$C$2474,3,false)</f>
        <v>#N/A</v>
      </c>
      <c r="H565" s="265" t="s">
        <v>20</v>
      </c>
      <c r="I565" s="266">
        <v>8000.0</v>
      </c>
    </row>
    <row r="566" hidden="1">
      <c r="A566" s="258">
        <v>670.0</v>
      </c>
      <c r="B566" s="258">
        <v>670.0</v>
      </c>
      <c r="C566" s="260">
        <v>584.0</v>
      </c>
      <c r="D566" s="260" t="str">
        <f>IFERROR(__xludf.DUMMYFUNCTION("if(B566&lt;=999,if(B566&lt;=99,IF(B566&lt;=9,join(,""000"",B566),join(,""00"",B566)),join(,""0"",B566)),B566)"),"0670")</f>
        <v>0670</v>
      </c>
      <c r="E566" s="270" t="s">
        <v>1281</v>
      </c>
      <c r="F566" s="263" t="str">
        <f>vlookup(B566,'Geotagging Master All-Training '!$A$2:$C$2474,2,false)</f>
        <v>#N/A</v>
      </c>
      <c r="G566" s="263" t="str">
        <f>vlookup(B566,'Geotagging Master All-Training '!$A$2:$C$2474,3,false)</f>
        <v>#N/A</v>
      </c>
      <c r="H566" s="265" t="s">
        <v>20</v>
      </c>
      <c r="I566" s="266">
        <v>3666.0</v>
      </c>
    </row>
    <row r="567" hidden="1">
      <c r="A567" s="258">
        <v>1287.0</v>
      </c>
      <c r="B567" s="258">
        <v>1287.0</v>
      </c>
      <c r="C567" s="260">
        <v>586.0</v>
      </c>
      <c r="D567" s="260">
        <f>IFERROR(__xludf.DUMMYFUNCTION("if(B567&lt;=999,if(B567&lt;=99,IF(B567&lt;=9,join(,""000"",B567),join(,""00"",B567)),join(,""0"",B567)),B567)"),1287.0)</f>
        <v>1287</v>
      </c>
      <c r="E567" s="270" t="s">
        <v>1283</v>
      </c>
      <c r="F567" s="263" t="str">
        <f>vlookup(B567,'Geotagging Master All-Training '!$A$2:$C$2474,2,false)</f>
        <v>#N/A</v>
      </c>
      <c r="G567" s="263" t="str">
        <f>vlookup(B567,'Geotagging Master All-Training '!$A$2:$C$2474,3,false)</f>
        <v>#N/A</v>
      </c>
      <c r="H567" s="265" t="s">
        <v>20</v>
      </c>
      <c r="I567" s="266"/>
    </row>
    <row r="568" hidden="1">
      <c r="A568" s="258">
        <v>811.0</v>
      </c>
      <c r="B568" s="259">
        <v>811.0</v>
      </c>
      <c r="C568" s="260">
        <v>587.0</v>
      </c>
      <c r="D568" s="260" t="str">
        <f>IFERROR(__xludf.DUMMYFUNCTION("if(B568&lt;=999,if(B568&lt;=99,IF(B568&lt;=9,join(,""000"",B568),join(,""00"",B568)),join(,""0"",B568)),B568)"),"0811")</f>
        <v>0811</v>
      </c>
      <c r="E568" s="262" t="s">
        <v>1285</v>
      </c>
      <c r="F568" s="263" t="str">
        <f>vlookup(B568,'Geotagging Master All-Training '!$A$2:$C$2474,2,false)</f>
        <v>#N/A</v>
      </c>
      <c r="G568" s="263" t="str">
        <f>vlookup(B568,'Geotagging Master All-Training '!$A$2:$C$2474,3,false)</f>
        <v>#N/A</v>
      </c>
      <c r="H568" s="265" t="s">
        <v>20</v>
      </c>
      <c r="I568" s="266" t="s">
        <v>1287</v>
      </c>
    </row>
    <row r="569" hidden="1">
      <c r="A569" s="272">
        <v>1046.0</v>
      </c>
      <c r="B569" s="272">
        <v>1046.0</v>
      </c>
      <c r="C569" s="273">
        <v>589.0</v>
      </c>
      <c r="D569" s="273">
        <f>IFERROR(__xludf.DUMMYFUNCTION("if(B569&lt;=999,if(B569&lt;=99,IF(B569&lt;=9,join(,""000"",B569),join(,""00"",B569)),join(,""0"",B569)),B569)"),1046.0)</f>
        <v>1046</v>
      </c>
      <c r="E569" s="304" t="s">
        <v>429</v>
      </c>
      <c r="F569" s="303" t="str">
        <f>vlookup(B569,'Geotagging Master All-Training '!$A$2:$C$2474,2,false)</f>
        <v>#N/A</v>
      </c>
      <c r="G569" s="303" t="str">
        <f>vlookup(B569,'Geotagging Master All-Training '!$A$2:$C$2474,3,false)</f>
        <v>#N/A</v>
      </c>
      <c r="H569" s="276" t="s">
        <v>20</v>
      </c>
      <c r="I569" s="277"/>
    </row>
    <row r="570" hidden="1">
      <c r="A570" s="272">
        <v>687.0</v>
      </c>
      <c r="B570" s="272">
        <v>687.0</v>
      </c>
      <c r="C570" s="273">
        <v>111.0</v>
      </c>
      <c r="D570" s="273" t="str">
        <f>IFERROR(__xludf.DUMMYFUNCTION("if(B570&lt;=999,if(B570&lt;=99,IF(B570&lt;=9,join(,""000"",B570),join(,""00"",B570)),join(,""0"",B570)),B570)"),"0687")</f>
        <v>0687</v>
      </c>
      <c r="E570" s="304" t="s">
        <v>1339</v>
      </c>
      <c r="F570" s="303" t="str">
        <f>vlookup(B570,'Geotagging Master All-Training '!$A$2:$C$2474,2,false)</f>
        <v>#N/A</v>
      </c>
      <c r="G570" s="303" t="str">
        <f>vlookup(B570,'Geotagging Master All-Training '!$A$2:$C$2474,3,false)</f>
        <v>#N/A</v>
      </c>
      <c r="H570" s="276" t="s">
        <v>20</v>
      </c>
      <c r="I570" s="277" t="e">
        <v>#N/A</v>
      </c>
    </row>
    <row r="571" hidden="1">
      <c r="A571" s="258">
        <v>220.0</v>
      </c>
      <c r="B571" s="258">
        <v>220.0</v>
      </c>
      <c r="C571" s="260">
        <v>590.0</v>
      </c>
      <c r="D571" s="260" t="str">
        <f>IFERROR(__xludf.DUMMYFUNCTION("if(B571&lt;=999,if(B571&lt;=99,IF(B571&lt;=9,join(,""000"",B571),join(,""00"",B571)),join(,""0"",B571)),B571)"),"0220")</f>
        <v>0220</v>
      </c>
      <c r="E571" s="262" t="s">
        <v>1290</v>
      </c>
      <c r="F571" s="263" t="str">
        <f>vlookup(B571,'Geotagging Master All-Training '!$A$2:$C$2474,2,false)</f>
        <v>#N/A</v>
      </c>
      <c r="G571" s="263" t="str">
        <f>vlookup(B571,'Geotagging Master All-Training '!$A$2:$C$2474,3,false)</f>
        <v>#N/A</v>
      </c>
      <c r="H571" s="265" t="s">
        <v>20</v>
      </c>
      <c r="I571" s="266">
        <v>25001.0</v>
      </c>
    </row>
    <row r="572" hidden="1">
      <c r="A572" s="258">
        <v>37.0</v>
      </c>
      <c r="B572" s="258">
        <v>37.0</v>
      </c>
      <c r="C572" s="260">
        <v>591.0</v>
      </c>
      <c r="D572" s="260" t="str">
        <f>IFERROR(__xludf.DUMMYFUNCTION("if(B572&lt;=999,if(B572&lt;=99,IF(B572&lt;=9,join(,""000"",B572),join(,""00"",B572)),join(,""0"",B572)),B572)"),"0037")</f>
        <v>0037</v>
      </c>
      <c r="E572" s="262" t="s">
        <v>1292</v>
      </c>
      <c r="F572" s="263" t="str">
        <f>vlookup(B572,'Geotagging Master All-Training '!$A$2:$C$2474,2,false)</f>
        <v>#N/A</v>
      </c>
      <c r="G572" s="263" t="str">
        <f>vlookup(B572,'Geotagging Master All-Training '!$A$2:$C$2474,3,false)</f>
        <v>#N/A</v>
      </c>
      <c r="H572" s="265" t="s">
        <v>20</v>
      </c>
      <c r="I572" s="266" t="s">
        <v>1294</v>
      </c>
    </row>
    <row r="573" hidden="1">
      <c r="A573" s="258">
        <v>723.0</v>
      </c>
      <c r="B573" s="258">
        <v>723.0</v>
      </c>
      <c r="C573" s="260">
        <v>592.0</v>
      </c>
      <c r="D573" s="260" t="str">
        <f>IFERROR(__xludf.DUMMYFUNCTION("if(B573&lt;=999,if(B573&lt;=99,IF(B573&lt;=9,join(,""000"",B573),join(,""00"",B573)),join(,""0"",B573)),B573)"),"0723")</f>
        <v>0723</v>
      </c>
      <c r="E573" s="262" t="s">
        <v>1295</v>
      </c>
      <c r="F573" s="263" t="str">
        <f>vlookup(B573,'Geotagging Master All-Training '!$A$2:$C$2474,2,false)</f>
        <v>#N/A</v>
      </c>
      <c r="G573" s="263" t="str">
        <f>vlookup(B573,'Geotagging Master All-Training '!$A$2:$C$2474,3,false)</f>
        <v>#N/A</v>
      </c>
      <c r="H573" s="265" t="s">
        <v>20</v>
      </c>
      <c r="I573" s="266" t="e">
        <v>#N/A</v>
      </c>
    </row>
    <row r="574" hidden="1">
      <c r="A574" s="258">
        <v>1064.0</v>
      </c>
      <c r="B574" s="258">
        <v>1064.0</v>
      </c>
      <c r="C574" s="330">
        <v>593.0</v>
      </c>
      <c r="D574" s="330">
        <v>1064.0</v>
      </c>
      <c r="E574" s="331" t="s">
        <v>1340</v>
      </c>
      <c r="F574" s="263" t="str">
        <f>vlookup(B574,'Geotagging Master All-Training '!$A$2:$C$2474,2,false)</f>
        <v>#N/A</v>
      </c>
      <c r="G574" s="263" t="str">
        <f>vlookup(B574,'Geotagging Master All-Training '!$A$2:$C$2474,3,false)</f>
        <v>#N/A</v>
      </c>
      <c r="H574" s="332" t="s">
        <v>20</v>
      </c>
      <c r="I574" s="333"/>
    </row>
  </sheetData>
  <autoFilter ref="$A$6:$I$574">
    <filterColumn colId="7">
      <filters blank="1">
        <filter val="No"/>
      </filters>
    </filterColumn>
    <filterColumn colId="6">
      <filters blank="1">
        <filter val="#N/A"/>
      </filters>
    </filterColumn>
  </autoFilter>
  <customSheetViews>
    <customSheetView guid="{461316B6-17F5-406C-AD29-9E9E363CFA06}" filter="1" showAutoFilter="1">
      <autoFilter ref="$A$6:$I$574"/>
    </customSheetView>
    <customSheetView guid="{D0F387BE-95CD-4215-B4D7-7CB6B328D750}" filter="1" showAutoFilter="1">
      <autoFilter ref="$A$6:$I$574"/>
    </customSheetView>
    <customSheetView guid="{89D674A9-5E02-46F3-8EAE-C90AAEBD18CB}" filter="1" showAutoFilter="1">
      <autoFilter ref="$A$6:$I$574">
        <filterColumn colId="7">
          <filters blank="1">
            <filter val="No"/>
          </filters>
        </filterColumn>
      </autoFilter>
    </customSheetView>
    <customSheetView guid="{F79953EE-21CA-4328-B7CE-2E5232C4758F}" filter="1" showAutoFilter="1">
      <autoFilter ref="$A$6:$I$574"/>
    </customSheetView>
    <customSheetView guid="{1DC2AD82-D692-4630-94C1-2791270E8794}" filter="1" showAutoFilter="1">
      <autoFilter ref="$I$3"/>
    </customSheetView>
    <customSheetView guid="{E011813A-1907-4E19-A9F9-B58EB77877E4}" filter="1" showAutoFilter="1">
      <autoFilter ref="$A$6:$I$574"/>
    </customSheetView>
    <customSheetView guid="{B8F91280-5839-4824-9837-B33C2803B9C9}" filter="1" showAutoFilter="1">
      <autoFilter ref="$A$6:$I$574"/>
    </customSheetView>
    <customSheetView guid="{8D321D32-C538-4F99-A133-732AA9E194E7}" filter="1" showAutoFilter="1">
      <autoFilter ref="$A$6:$I$574"/>
    </customSheetView>
    <customSheetView guid="{4B942B8B-C855-402E-B1CA-C99DA2CDE73C}" filter="1" showAutoFilter="1">
      <autoFilter ref="$A$6:$I$574"/>
    </customSheetView>
    <customSheetView guid="{1C94B833-20B3-4B74-ACE6-0864EB8F8213}" filter="1" showAutoFilter="1">
      <autoFilter ref="$A$6:$I$574"/>
    </customSheetView>
    <customSheetView guid="{B995BA34-E10D-40AF-AA8C-B5692B2826B5}" filter="1" showAutoFilter="1">
      <autoFilter ref="$A$6:$H$574">
        <filterColumn colId="7">
          <filters>
            <filter val="Yes"/>
          </filters>
        </filterColumn>
      </autoFilter>
    </customSheetView>
    <customSheetView guid="{8C74C9FC-D395-430E-9425-07E8EBD06DD9}" filter="1" showAutoFilter="1">
      <autoFilter ref="$A$6:$I$574"/>
    </customSheetView>
    <customSheetView guid="{F8C118C5-118F-4E9B-9306-7A818040F34B}" filter="1" showAutoFilter="1">
      <autoFilter ref="$I$3"/>
    </customSheetView>
    <customSheetView guid="{3244BD90-1F1B-49B1-9805-E2AEEAC5DF7E}" filter="1" showAutoFilter="1">
      <autoFilter ref="$A$6:$I$574"/>
    </customSheetView>
    <customSheetView guid="{0FE39A5F-C5C4-4C74-B50C-08D37C704852}" filter="1" showAutoFilter="1">
      <autoFilter ref="$A$6:$I$574"/>
    </customSheetView>
    <customSheetView guid="{BE7EE906-3AC6-489B-8307-8DCF78AC4CC4}" filter="1" showAutoFilter="1">
      <autoFilter ref="$A$6:$I$574">
        <filterColumn colId="7">
          <filters blank="1">
            <filter val="No"/>
          </filters>
        </filterColumn>
      </autoFilter>
    </customSheetView>
    <customSheetView guid="{03BA606A-9EF1-488F-B5B6-5F234A109122}" filter="1" showAutoFilter="1">
      <autoFilter ref="$A$6:$I$574"/>
    </customSheetView>
    <customSheetView guid="{B340BCCB-2239-4F53-A7F5-8859E4CC659F}" filter="1" showAutoFilter="1">
      <autoFilter ref="$A$6:$I$574"/>
    </customSheetView>
    <customSheetView guid="{41EC89E4-EEB1-42F9-9D42-62D67780E2D1}" filter="1" showAutoFilter="1">
      <autoFilter ref="$A$6:$I$574">
        <filterColumn colId="7">
          <filters blank="1">
            <filter val="No"/>
          </filters>
        </filterColumn>
      </autoFilter>
    </customSheetView>
    <customSheetView guid="{19BDEF7B-6167-46F4-96D1-80D9261FEA6F}" filter="1" showAutoFilter="1">
      <autoFilter ref="$A$6:$I$574">
        <filterColumn colId="7">
          <filters blank="1">
            <filter val="No"/>
          </filters>
        </filterColumn>
      </autoFilter>
    </customSheetView>
    <customSheetView guid="{59693195-0373-46FB-A9CA-38C62EF18CBE}" filter="1" showAutoFilter="1">
      <autoFilter ref="$A$6:$I$574"/>
    </customSheetView>
    <customSheetView guid="{4CDEB16D-957F-46E0-B073-82BA58078811}" filter="1" showAutoFilter="1">
      <autoFilter ref="$A$6:$I$574"/>
    </customSheetView>
    <customSheetView guid="{55429418-C5E5-48EC-BE8C-D5FCDB9B5FF0}" filter="1" showAutoFilter="1">
      <autoFilter ref="$A$6:$I$574"/>
    </customSheetView>
    <customSheetView guid="{3D2377A7-7B9A-4DD0-8064-B35170BE2591}" filter="1" showAutoFilter="1">
      <autoFilter ref="$A$6:$I$574"/>
    </customSheetView>
    <customSheetView guid="{29638FDE-F393-4482-95FA-94A7C29B2F6D}" filter="1" showAutoFilter="1">
      <autoFilter ref="$A$6:$I$574">
        <filterColumn colId="7">
          <filters blank="1">
            <filter val="No"/>
          </filters>
        </filterColumn>
      </autoFilter>
    </customSheetView>
    <customSheetView guid="{83CFE988-7961-4294-A58B-6D43D804AA72}" filter="1" showAutoFilter="1">
      <autoFilter ref="$A$6:$I$574"/>
    </customSheetView>
    <customSheetView guid="{28CBDBE6-D2F0-42B2-8EAC-A47764FF5CBC}" filter="1" showAutoFilter="1">
      <autoFilter ref="$A$6:$I$574">
        <filterColumn colId="6">
          <filters blank="1">
            <filter val="#N/A"/>
          </filters>
        </filterColumn>
        <filterColumn colId="7">
          <filters blank="1">
            <filter val="No"/>
          </filters>
        </filterColumn>
      </autoFilter>
    </customSheetView>
    <customSheetView guid="{26145B14-D411-4703-A550-BC4D66DDB855}" filter="1" showAutoFilter="1">
      <autoFilter ref="$A$6:$I$574"/>
    </customSheetView>
  </customSheetViews>
  <dataValidations>
    <dataValidation type="list" allowBlank="1" sqref="H7:H574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63"/>
    <col customWidth="1" min="2" max="2" width="6.13"/>
    <col customWidth="1" min="3" max="3" width="17.75"/>
    <col customWidth="1" min="4" max="4" width="64.38"/>
    <col customWidth="1" min="5" max="5" width="10.88"/>
    <col customWidth="1" min="6" max="6" width="13.13"/>
    <col customWidth="1" min="7" max="7" width="33.63"/>
    <col customWidth="1" min="8" max="8" width="22.5"/>
    <col customWidth="1" min="9" max="9" width="12.5"/>
    <col customWidth="1" hidden="1" min="10" max="10" width="26.0"/>
  </cols>
  <sheetData>
    <row r="1">
      <c r="A1" s="224"/>
      <c r="B1" s="225">
        <v>1.0</v>
      </c>
      <c r="C1" s="226" t="s">
        <v>1321</v>
      </c>
      <c r="D1" s="227" t="s">
        <v>1322</v>
      </c>
      <c r="E1" s="227"/>
      <c r="F1" s="227"/>
      <c r="G1" s="2"/>
      <c r="H1" s="1"/>
      <c r="I1" s="16"/>
      <c r="J1" s="229"/>
    </row>
    <row r="2" hidden="1">
      <c r="A2" s="231"/>
      <c r="B2" s="231"/>
      <c r="C2" s="231"/>
      <c r="D2" s="232"/>
      <c r="E2" s="233"/>
      <c r="F2" s="233"/>
      <c r="G2" s="2"/>
      <c r="H2" s="1"/>
      <c r="I2" s="234"/>
      <c r="J2" s="229"/>
    </row>
    <row r="3">
      <c r="A3" s="236"/>
      <c r="B3" s="236">
        <v>1.0</v>
      </c>
      <c r="C3" s="236"/>
      <c r="D3" s="237">
        <v>555.0</v>
      </c>
      <c r="E3" s="238"/>
      <c r="F3" s="238"/>
      <c r="G3" s="11"/>
      <c r="H3" s="9"/>
      <c r="I3" s="234"/>
      <c r="J3" s="229"/>
    </row>
    <row r="4">
      <c r="A4" s="240"/>
      <c r="B4" s="240"/>
      <c r="C4" s="240"/>
      <c r="D4" s="241"/>
      <c r="E4" s="242"/>
      <c r="F4" s="242"/>
      <c r="G4" s="11"/>
      <c r="H4" s="9"/>
      <c r="I4" s="234"/>
      <c r="J4" s="229"/>
    </row>
    <row r="5">
      <c r="A5" s="27" t="s">
        <v>6</v>
      </c>
      <c r="B5" s="255" t="s">
        <v>1324</v>
      </c>
      <c r="C5" s="255" t="s">
        <v>6</v>
      </c>
      <c r="D5" s="256" t="s">
        <v>1325</v>
      </c>
      <c r="E5" s="256" t="s">
        <v>1326</v>
      </c>
      <c r="F5" s="256" t="s">
        <v>1327</v>
      </c>
      <c r="G5" s="334" t="s">
        <v>8</v>
      </c>
      <c r="H5" s="255" t="s">
        <v>8</v>
      </c>
      <c r="I5" s="255" t="s">
        <v>12</v>
      </c>
      <c r="J5" s="243" t="s">
        <v>15</v>
      </c>
    </row>
    <row r="6">
      <c r="A6" s="259"/>
      <c r="B6" s="260"/>
      <c r="C6" s="261"/>
      <c r="D6" s="262"/>
      <c r="E6" s="263"/>
      <c r="F6" s="263"/>
      <c r="G6" s="270"/>
      <c r="H6" s="260"/>
      <c r="I6" s="265"/>
      <c r="J6" s="266">
        <v>80.0</v>
      </c>
    </row>
    <row r="7">
      <c r="A7" s="259"/>
      <c r="B7" s="260"/>
      <c r="C7" s="260"/>
      <c r="D7" s="262"/>
      <c r="E7" s="263"/>
      <c r="F7" s="263"/>
      <c r="G7" s="270"/>
      <c r="H7" s="260"/>
      <c r="I7" s="265"/>
      <c r="J7" s="266" t="s">
        <v>30</v>
      </c>
    </row>
    <row r="8">
      <c r="A8" s="259"/>
      <c r="B8" s="260"/>
      <c r="C8" s="260"/>
      <c r="D8" s="270"/>
      <c r="E8" s="263"/>
      <c r="F8" s="263"/>
      <c r="G8" s="270"/>
      <c r="H8" s="260"/>
      <c r="I8" s="265"/>
      <c r="J8" s="266"/>
    </row>
    <row r="9">
      <c r="A9" s="259"/>
      <c r="B9" s="260"/>
      <c r="C9" s="260"/>
      <c r="D9" s="270"/>
      <c r="E9" s="263"/>
      <c r="F9" s="263"/>
      <c r="G9" s="270"/>
      <c r="H9" s="260"/>
      <c r="I9" s="265"/>
      <c r="J9" s="266" t="s">
        <v>42</v>
      </c>
    </row>
    <row r="10">
      <c r="A10" s="259"/>
      <c r="B10" s="260"/>
      <c r="C10" s="260"/>
      <c r="D10" s="270"/>
      <c r="E10" s="263"/>
      <c r="F10" s="263"/>
      <c r="G10" s="270"/>
      <c r="H10" s="260"/>
      <c r="I10" s="265"/>
      <c r="J10" s="266" t="e">
        <v>#N/A</v>
      </c>
    </row>
    <row r="11">
      <c r="A11" s="259"/>
      <c r="B11" s="260"/>
      <c r="C11" s="260"/>
      <c r="D11" s="270"/>
      <c r="E11" s="263"/>
      <c r="F11" s="263"/>
      <c r="G11" s="270"/>
      <c r="H11" s="260"/>
      <c r="I11" s="265"/>
      <c r="J11" s="266" t="e">
        <v>#N/A</v>
      </c>
    </row>
    <row r="12">
      <c r="A12" s="272"/>
      <c r="B12" s="260"/>
      <c r="C12" s="273"/>
      <c r="D12" s="274"/>
      <c r="E12" s="263"/>
      <c r="F12" s="263"/>
      <c r="G12" s="304"/>
      <c r="H12" s="273"/>
      <c r="I12" s="276"/>
      <c r="J12" s="277">
        <v>16.0</v>
      </c>
    </row>
    <row r="13">
      <c r="A13" s="259"/>
      <c r="B13" s="260"/>
      <c r="C13" s="260"/>
      <c r="D13" s="262"/>
      <c r="E13" s="263"/>
      <c r="F13" s="263"/>
      <c r="G13" s="270"/>
      <c r="H13" s="260"/>
      <c r="I13" s="265"/>
      <c r="J13" s="266" t="s">
        <v>53</v>
      </c>
    </row>
    <row r="14">
      <c r="A14" s="259"/>
      <c r="B14" s="260"/>
      <c r="C14" s="260"/>
      <c r="D14" s="262"/>
      <c r="E14" s="263"/>
      <c r="F14" s="263"/>
      <c r="G14" s="270"/>
      <c r="H14" s="260"/>
      <c r="I14" s="265"/>
      <c r="J14" s="266">
        <v>37777.0</v>
      </c>
    </row>
    <row r="15">
      <c r="A15" s="258"/>
      <c r="B15" s="260"/>
      <c r="C15" s="260"/>
      <c r="D15" s="262"/>
      <c r="E15" s="263"/>
      <c r="F15" s="263"/>
      <c r="G15" s="270"/>
      <c r="H15" s="260"/>
      <c r="I15" s="265"/>
      <c r="J15" s="266">
        <v>2902.0</v>
      </c>
    </row>
    <row r="16" hidden="1">
      <c r="A16" s="272">
        <v>1069.0</v>
      </c>
      <c r="B16" s="273">
        <v>12.0</v>
      </c>
      <c r="C16" s="273">
        <v>1069.0</v>
      </c>
      <c r="D16" s="335" t="s">
        <v>1119</v>
      </c>
      <c r="E16" s="303" t="s">
        <v>1341</v>
      </c>
      <c r="F16" s="303" t="s">
        <v>1300</v>
      </c>
      <c r="G16" s="304" t="s">
        <v>1342</v>
      </c>
      <c r="H16" s="273">
        <v>9.41523608E9</v>
      </c>
      <c r="I16" s="276" t="s">
        <v>35</v>
      </c>
      <c r="J16" s="277">
        <v>80.0</v>
      </c>
    </row>
    <row r="17" hidden="1">
      <c r="A17" s="272">
        <v>72.0</v>
      </c>
      <c r="B17" s="273">
        <v>47.0</v>
      </c>
      <c r="C17" s="273" t="s">
        <v>1343</v>
      </c>
      <c r="D17" s="304" t="s">
        <v>929</v>
      </c>
      <c r="E17" s="303" t="s">
        <v>1344</v>
      </c>
      <c r="F17" s="303" t="s">
        <v>1300</v>
      </c>
      <c r="G17" s="304" t="s">
        <v>1345</v>
      </c>
      <c r="H17" s="273">
        <v>8.400331163E9</v>
      </c>
      <c r="I17" s="276" t="s">
        <v>35</v>
      </c>
      <c r="J17" s="277" t="e">
        <v>#N/A</v>
      </c>
    </row>
    <row r="18" hidden="1">
      <c r="A18" s="272">
        <v>118.0</v>
      </c>
      <c r="B18" s="273">
        <v>63.0</v>
      </c>
      <c r="C18" s="273" t="s">
        <v>1346</v>
      </c>
      <c r="D18" s="304" t="s">
        <v>917</v>
      </c>
      <c r="E18" s="303" t="s">
        <v>1344</v>
      </c>
      <c r="F18" s="303" t="s">
        <v>1300</v>
      </c>
      <c r="G18" s="304" t="s">
        <v>1347</v>
      </c>
      <c r="H18" s="273">
        <v>9.889933832E9</v>
      </c>
      <c r="I18" s="276" t="s">
        <v>35</v>
      </c>
      <c r="J18" s="277">
        <v>16.0</v>
      </c>
    </row>
    <row r="19" hidden="1">
      <c r="A19" s="272">
        <v>1123.0</v>
      </c>
      <c r="B19" s="273">
        <v>73.0</v>
      </c>
      <c r="C19" s="273">
        <v>1123.0</v>
      </c>
      <c r="D19" s="304" t="s">
        <v>653</v>
      </c>
      <c r="E19" s="303" t="s">
        <v>1348</v>
      </c>
      <c r="F19" s="303" t="s">
        <v>1300</v>
      </c>
      <c r="G19" s="304" t="e">
        <v>#N/A</v>
      </c>
      <c r="H19" s="273" t="e">
        <v>#N/A</v>
      </c>
      <c r="I19" s="276" t="s">
        <v>35</v>
      </c>
      <c r="J19" s="277" t="e">
        <v>#N/A</v>
      </c>
    </row>
    <row r="20" hidden="1">
      <c r="A20" s="272">
        <v>233.0</v>
      </c>
      <c r="B20" s="273">
        <v>114.0</v>
      </c>
      <c r="C20" s="273" t="s">
        <v>1349</v>
      </c>
      <c r="D20" s="304" t="s">
        <v>224</v>
      </c>
      <c r="E20" s="303" t="s">
        <v>1350</v>
      </c>
      <c r="F20" s="303" t="s">
        <v>1300</v>
      </c>
      <c r="G20" s="304" t="s">
        <v>1351</v>
      </c>
      <c r="H20" s="273">
        <v>7.007654521E9</v>
      </c>
      <c r="I20" s="276" t="s">
        <v>35</v>
      </c>
      <c r="J20" s="277" t="s">
        <v>225</v>
      </c>
    </row>
    <row r="21" hidden="1">
      <c r="A21" s="272">
        <v>461.0</v>
      </c>
      <c r="B21" s="273">
        <v>137.0</v>
      </c>
      <c r="C21" s="273" t="s">
        <v>1352</v>
      </c>
      <c r="D21" s="304" t="s">
        <v>351</v>
      </c>
      <c r="E21" s="303" t="s">
        <v>1353</v>
      </c>
      <c r="F21" s="303" t="s">
        <v>1300</v>
      </c>
      <c r="G21" s="304" t="e">
        <v>#N/A</v>
      </c>
      <c r="H21" s="273" t="e">
        <v>#N/A</v>
      </c>
      <c r="I21" s="276" t="s">
        <v>35</v>
      </c>
      <c r="J21" s="277" t="e">
        <v>#N/A</v>
      </c>
    </row>
    <row r="22" hidden="1">
      <c r="A22" s="272">
        <v>469.0</v>
      </c>
      <c r="B22" s="273">
        <v>167.0</v>
      </c>
      <c r="C22" s="273" t="s">
        <v>1354</v>
      </c>
      <c r="D22" s="304" t="s">
        <v>462</v>
      </c>
      <c r="E22" s="303" t="s">
        <v>1355</v>
      </c>
      <c r="F22" s="303" t="s">
        <v>1300</v>
      </c>
      <c r="G22" s="304" t="e">
        <v>#N/A</v>
      </c>
      <c r="H22" s="273" t="e">
        <v>#N/A</v>
      </c>
      <c r="I22" s="276" t="s">
        <v>35</v>
      </c>
      <c r="J22" s="277" t="e">
        <v>#N/A</v>
      </c>
    </row>
    <row r="23" hidden="1">
      <c r="A23" s="272">
        <v>1054.0</v>
      </c>
      <c r="B23" s="273">
        <v>181.0</v>
      </c>
      <c r="C23" s="273">
        <v>1054.0</v>
      </c>
      <c r="D23" s="304" t="s">
        <v>463</v>
      </c>
      <c r="E23" s="303" t="s">
        <v>1355</v>
      </c>
      <c r="F23" s="303" t="s">
        <v>1300</v>
      </c>
      <c r="G23" s="304" t="e">
        <v>#N/A</v>
      </c>
      <c r="H23" s="273" t="e">
        <v>#N/A</v>
      </c>
      <c r="I23" s="276" t="s">
        <v>35</v>
      </c>
      <c r="J23" s="277" t="e">
        <v>#N/A</v>
      </c>
    </row>
    <row r="24" hidden="1">
      <c r="A24" s="272">
        <v>1215.0</v>
      </c>
      <c r="B24" s="273">
        <v>182.0</v>
      </c>
      <c r="C24" s="273">
        <v>1215.0</v>
      </c>
      <c r="D24" s="304" t="s">
        <v>464</v>
      </c>
      <c r="E24" s="303" t="s">
        <v>1355</v>
      </c>
      <c r="F24" s="303" t="s">
        <v>1300</v>
      </c>
      <c r="G24" s="304" t="e">
        <v>#N/A</v>
      </c>
      <c r="H24" s="273" t="e">
        <v>#N/A</v>
      </c>
      <c r="I24" s="276" t="s">
        <v>35</v>
      </c>
      <c r="J24" s="277" t="e">
        <v>#N/A</v>
      </c>
    </row>
    <row r="25" hidden="1">
      <c r="A25" s="272">
        <v>1322.0</v>
      </c>
      <c r="B25" s="273">
        <v>216.0</v>
      </c>
      <c r="C25" s="273">
        <v>1322.0</v>
      </c>
      <c r="D25" s="304" t="s">
        <v>544</v>
      </c>
      <c r="E25" s="303" t="s">
        <v>1356</v>
      </c>
      <c r="F25" s="303" t="s">
        <v>1300</v>
      </c>
      <c r="G25" s="304" t="e">
        <v>#N/A</v>
      </c>
      <c r="H25" s="273" t="e">
        <v>#N/A</v>
      </c>
      <c r="I25" s="276" t="s">
        <v>35</v>
      </c>
      <c r="J25" s="277" t="e">
        <v>#N/A</v>
      </c>
    </row>
    <row r="26" hidden="1">
      <c r="A26" s="272">
        <v>465.0</v>
      </c>
      <c r="B26" s="273">
        <v>217.0</v>
      </c>
      <c r="C26" s="273" t="s">
        <v>1357</v>
      </c>
      <c r="D26" s="335" t="s">
        <v>545</v>
      </c>
      <c r="E26" s="303" t="s">
        <v>1356</v>
      </c>
      <c r="F26" s="303" t="s">
        <v>1300</v>
      </c>
      <c r="G26" s="304" t="e">
        <v>#N/A</v>
      </c>
      <c r="H26" s="273" t="e">
        <v>#N/A</v>
      </c>
      <c r="I26" s="276" t="s">
        <v>35</v>
      </c>
      <c r="J26" s="277" t="e">
        <v>#N/A</v>
      </c>
    </row>
    <row r="27" hidden="1">
      <c r="A27" s="272">
        <v>1017.0</v>
      </c>
      <c r="B27" s="273">
        <v>261.0</v>
      </c>
      <c r="C27" s="273">
        <v>1017.0</v>
      </c>
      <c r="D27" s="304" t="s">
        <v>1080</v>
      </c>
      <c r="E27" s="303" t="s">
        <v>1358</v>
      </c>
      <c r="F27" s="303" t="s">
        <v>1300</v>
      </c>
      <c r="G27" s="304" t="s">
        <v>1359</v>
      </c>
      <c r="H27" s="273">
        <v>9.897004744E9</v>
      </c>
      <c r="I27" s="276" t="s">
        <v>35</v>
      </c>
      <c r="J27" s="277" t="s">
        <v>244</v>
      </c>
    </row>
    <row r="28" hidden="1">
      <c r="A28" s="258">
        <v>1129.0</v>
      </c>
      <c r="B28" s="260">
        <v>256.0</v>
      </c>
      <c r="C28" s="260">
        <v>1129.0</v>
      </c>
      <c r="D28" s="270" t="s">
        <v>643</v>
      </c>
      <c r="E28" s="263" t="s">
        <v>1360</v>
      </c>
      <c r="F28" s="263" t="s">
        <v>1361</v>
      </c>
      <c r="G28" s="270" t="e">
        <v>#N/A</v>
      </c>
      <c r="H28" s="260" t="e">
        <v>#N/A</v>
      </c>
      <c r="I28" s="265" t="s">
        <v>35</v>
      </c>
      <c r="J28" s="266" t="e">
        <v>#N/A</v>
      </c>
    </row>
    <row r="29" hidden="1">
      <c r="A29" s="272">
        <v>1195.0</v>
      </c>
      <c r="B29" s="273">
        <v>290.0</v>
      </c>
      <c r="C29" s="306">
        <v>1195.0</v>
      </c>
      <c r="D29" s="336" t="s">
        <v>1169</v>
      </c>
      <c r="E29" s="303" t="s">
        <v>1362</v>
      </c>
      <c r="F29" s="303" t="s">
        <v>1300</v>
      </c>
      <c r="G29" s="336" t="s">
        <v>1363</v>
      </c>
      <c r="H29" s="337">
        <v>9.760812441E9</v>
      </c>
      <c r="I29" s="276" t="s">
        <v>35</v>
      </c>
      <c r="J29" s="338" t="s">
        <v>453</v>
      </c>
    </row>
    <row r="30" hidden="1">
      <c r="A30" s="258">
        <v>6.0</v>
      </c>
      <c r="B30" s="260">
        <v>279.0</v>
      </c>
      <c r="C30" s="260" t="s">
        <v>1364</v>
      </c>
      <c r="D30" s="270" t="s">
        <v>690</v>
      </c>
      <c r="E30" s="263" t="s">
        <v>1365</v>
      </c>
      <c r="F30" s="263" t="s">
        <v>1361</v>
      </c>
      <c r="G30" s="270" t="s">
        <v>1366</v>
      </c>
      <c r="H30" s="260" t="s">
        <v>1367</v>
      </c>
      <c r="I30" s="265" t="s">
        <v>35</v>
      </c>
      <c r="J30" s="266">
        <v>80.0</v>
      </c>
    </row>
    <row r="31" hidden="1">
      <c r="A31" s="259">
        <v>512.0</v>
      </c>
      <c r="B31" s="260">
        <v>320.0</v>
      </c>
      <c r="C31" s="260" t="s">
        <v>1368</v>
      </c>
      <c r="D31" s="270" t="s">
        <v>787</v>
      </c>
      <c r="E31" s="263" t="s">
        <v>1344</v>
      </c>
      <c r="F31" s="263" t="s">
        <v>1369</v>
      </c>
      <c r="G31" s="270" t="e">
        <v>#N/A</v>
      </c>
      <c r="H31" s="260" t="e">
        <v>#N/A</v>
      </c>
      <c r="I31" s="265" t="s">
        <v>35</v>
      </c>
      <c r="J31" s="266" t="e">
        <v>#N/A</v>
      </c>
    </row>
    <row r="32" hidden="1">
      <c r="A32" s="272">
        <v>1367.0</v>
      </c>
      <c r="B32" s="273">
        <v>325.0</v>
      </c>
      <c r="C32" s="273">
        <v>1367.0</v>
      </c>
      <c r="D32" s="304" t="s">
        <v>652</v>
      </c>
      <c r="E32" s="303" t="s">
        <v>1348</v>
      </c>
      <c r="F32" s="303" t="s">
        <v>1300</v>
      </c>
      <c r="G32" s="304" t="s">
        <v>1370</v>
      </c>
      <c r="H32" s="273">
        <v>9.41283509E9</v>
      </c>
      <c r="I32" s="276" t="s">
        <v>35</v>
      </c>
      <c r="J32" s="277">
        <v>32.0</v>
      </c>
    </row>
    <row r="33" hidden="1">
      <c r="A33" s="272">
        <v>538.0</v>
      </c>
      <c r="B33" s="273">
        <v>338.0</v>
      </c>
      <c r="C33" s="273" t="s">
        <v>1371</v>
      </c>
      <c r="D33" s="304" t="s">
        <v>323</v>
      </c>
      <c r="E33" s="303" t="s">
        <v>1336</v>
      </c>
      <c r="F33" s="303" t="s">
        <v>1300</v>
      </c>
      <c r="G33" s="304" t="s">
        <v>1372</v>
      </c>
      <c r="H33" s="273">
        <v>9.758307198E9</v>
      </c>
      <c r="I33" s="276" t="s">
        <v>35</v>
      </c>
      <c r="J33" s="277" t="e">
        <v>#N/A</v>
      </c>
    </row>
    <row r="34" hidden="1">
      <c r="A34" s="272">
        <v>832.0</v>
      </c>
      <c r="B34" s="273">
        <v>347.0</v>
      </c>
      <c r="C34" s="273" t="s">
        <v>1373</v>
      </c>
      <c r="D34" s="335" t="s">
        <v>847</v>
      </c>
      <c r="E34" s="303" t="s">
        <v>1344</v>
      </c>
      <c r="F34" s="303" t="s">
        <v>1300</v>
      </c>
      <c r="G34" s="304" t="e">
        <v>#N/A</v>
      </c>
      <c r="H34" s="273" t="e">
        <v>#N/A</v>
      </c>
      <c r="I34" s="276" t="s">
        <v>35</v>
      </c>
      <c r="J34" s="277" t="e">
        <v>#N/A</v>
      </c>
    </row>
    <row r="35" hidden="1">
      <c r="A35" s="272">
        <v>70.0</v>
      </c>
      <c r="B35" s="273">
        <v>383.0</v>
      </c>
      <c r="C35" s="273" t="s">
        <v>1374</v>
      </c>
      <c r="D35" s="304" t="s">
        <v>920</v>
      </c>
      <c r="E35" s="303" t="s">
        <v>1344</v>
      </c>
      <c r="F35" s="303" t="s">
        <v>1300</v>
      </c>
      <c r="G35" s="304" t="s">
        <v>1375</v>
      </c>
      <c r="H35" s="273">
        <v>9.389598748E9</v>
      </c>
      <c r="I35" s="276" t="s">
        <v>35</v>
      </c>
      <c r="J35" s="277" t="e">
        <v>#N/A</v>
      </c>
    </row>
    <row r="36" hidden="1">
      <c r="A36" s="258">
        <v>325.0</v>
      </c>
      <c r="B36" s="260">
        <v>394.0</v>
      </c>
      <c r="C36" s="260" t="s">
        <v>1376</v>
      </c>
      <c r="D36" s="270" t="s">
        <v>938</v>
      </c>
      <c r="E36" s="263" t="s">
        <v>1344</v>
      </c>
      <c r="F36" s="263" t="s">
        <v>1361</v>
      </c>
      <c r="G36" s="270" t="e">
        <v>#N/A</v>
      </c>
      <c r="H36" s="260" t="e">
        <v>#N/A</v>
      </c>
      <c r="I36" s="265" t="s">
        <v>35</v>
      </c>
      <c r="J36" s="266" t="e">
        <v>#N/A</v>
      </c>
    </row>
    <row r="37" hidden="1">
      <c r="A37" s="272">
        <v>1096.0</v>
      </c>
      <c r="B37" s="273">
        <v>448.0</v>
      </c>
      <c r="C37" s="273">
        <v>1096.0</v>
      </c>
      <c r="D37" s="304" t="s">
        <v>416</v>
      </c>
      <c r="E37" s="303" t="s">
        <v>1377</v>
      </c>
      <c r="F37" s="303" t="s">
        <v>1300</v>
      </c>
      <c r="G37" s="304" t="e">
        <v>#N/A</v>
      </c>
      <c r="H37" s="273" t="e">
        <v>#N/A</v>
      </c>
      <c r="I37" s="276" t="s">
        <v>35</v>
      </c>
      <c r="J37" s="277" t="e">
        <v>#N/A</v>
      </c>
    </row>
    <row r="38" hidden="1">
      <c r="A38" s="272">
        <v>467.0</v>
      </c>
      <c r="B38" s="273">
        <v>455.0</v>
      </c>
      <c r="C38" s="273" t="s">
        <v>1378</v>
      </c>
      <c r="D38" s="304" t="s">
        <v>1060</v>
      </c>
      <c r="E38" s="303" t="s">
        <v>1379</v>
      </c>
      <c r="F38" s="303" t="s">
        <v>1300</v>
      </c>
      <c r="G38" s="304" t="s">
        <v>1380</v>
      </c>
      <c r="H38" s="273">
        <v>8.449315841E9</v>
      </c>
      <c r="I38" s="276" t="s">
        <v>35</v>
      </c>
      <c r="J38" s="277" t="e">
        <v>#N/A</v>
      </c>
    </row>
    <row r="39" hidden="1">
      <c r="A39" s="258">
        <v>50.0</v>
      </c>
      <c r="B39" s="260">
        <v>468.0</v>
      </c>
      <c r="C39" s="260" t="s">
        <v>1381</v>
      </c>
      <c r="D39" s="270" t="s">
        <v>1023</v>
      </c>
      <c r="E39" s="263" t="s">
        <v>1382</v>
      </c>
      <c r="F39" s="263" t="s">
        <v>1361</v>
      </c>
      <c r="G39" s="270" t="s">
        <v>1383</v>
      </c>
      <c r="H39" s="260" t="s">
        <v>1384</v>
      </c>
      <c r="I39" s="265" t="s">
        <v>35</v>
      </c>
      <c r="J39" s="266">
        <v>8000.0</v>
      </c>
    </row>
    <row r="40" hidden="1">
      <c r="A40" s="258">
        <v>4.0</v>
      </c>
      <c r="B40" s="260">
        <v>499.0</v>
      </c>
      <c r="C40" s="260" t="s">
        <v>1385</v>
      </c>
      <c r="D40" s="270" t="s">
        <v>1131</v>
      </c>
      <c r="E40" s="263" t="s">
        <v>1341</v>
      </c>
      <c r="F40" s="263" t="s">
        <v>1361</v>
      </c>
      <c r="G40" s="270" t="s">
        <v>1386</v>
      </c>
      <c r="H40" s="260">
        <v>8.707898367E9</v>
      </c>
      <c r="I40" s="265" t="s">
        <v>35</v>
      </c>
      <c r="J40" s="266">
        <v>4.0</v>
      </c>
    </row>
    <row r="41" hidden="1">
      <c r="A41" s="272">
        <v>342.0</v>
      </c>
      <c r="B41" s="273">
        <v>521.0</v>
      </c>
      <c r="C41" s="273" t="s">
        <v>1387</v>
      </c>
      <c r="D41" s="304" t="s">
        <v>1175</v>
      </c>
      <c r="E41" s="303" t="s">
        <v>1362</v>
      </c>
      <c r="F41" s="303" t="s">
        <v>1300</v>
      </c>
      <c r="G41" s="304" t="e">
        <v>#N/A</v>
      </c>
      <c r="H41" s="273" t="e">
        <v>#N/A</v>
      </c>
      <c r="I41" s="276" t="s">
        <v>35</v>
      </c>
      <c r="J41" s="277" t="e">
        <v>#N/A</v>
      </c>
    </row>
    <row r="42" hidden="1">
      <c r="A42" s="272">
        <v>536.0</v>
      </c>
      <c r="B42" s="273">
        <v>524.0</v>
      </c>
      <c r="C42" s="273" t="s">
        <v>1388</v>
      </c>
      <c r="D42" s="304" t="s">
        <v>1180</v>
      </c>
      <c r="E42" s="303" t="s">
        <v>1362</v>
      </c>
      <c r="F42" s="303" t="s">
        <v>1300</v>
      </c>
      <c r="G42" s="304" t="e">
        <v>#N/A</v>
      </c>
      <c r="H42" s="273" t="e">
        <v>#N/A</v>
      </c>
      <c r="I42" s="276" t="s">
        <v>35</v>
      </c>
      <c r="J42" s="277" t="e">
        <v>#N/A</v>
      </c>
    </row>
    <row r="43" hidden="1">
      <c r="A43" s="258">
        <v>685.0</v>
      </c>
      <c r="B43" s="260">
        <v>523.0</v>
      </c>
      <c r="C43" s="260" t="s">
        <v>1389</v>
      </c>
      <c r="D43" s="270" t="s">
        <v>681</v>
      </c>
      <c r="E43" s="263" t="s">
        <v>1365</v>
      </c>
      <c r="F43" s="263" t="s">
        <v>1361</v>
      </c>
      <c r="G43" s="270" t="s">
        <v>1390</v>
      </c>
      <c r="H43" s="260">
        <v>9.839226595E9</v>
      </c>
      <c r="I43" s="265" t="s">
        <v>35</v>
      </c>
      <c r="J43" s="266"/>
    </row>
    <row r="44" hidden="1">
      <c r="A44" s="272">
        <v>1246.0</v>
      </c>
      <c r="B44" s="273">
        <v>528.0</v>
      </c>
      <c r="C44" s="273">
        <v>1246.0</v>
      </c>
      <c r="D44" s="304" t="s">
        <v>1184</v>
      </c>
      <c r="E44" s="303" t="s">
        <v>1362</v>
      </c>
      <c r="F44" s="303" t="s">
        <v>1300</v>
      </c>
      <c r="G44" s="304" t="e">
        <v>#N/A</v>
      </c>
      <c r="H44" s="273" t="e">
        <v>#N/A</v>
      </c>
      <c r="I44" s="276" t="s">
        <v>35</v>
      </c>
      <c r="J44" s="277" t="e">
        <v>#N/A</v>
      </c>
    </row>
    <row r="45" hidden="1">
      <c r="A45" s="272">
        <v>1045.0</v>
      </c>
      <c r="B45" s="273">
        <v>547.0</v>
      </c>
      <c r="C45" s="273">
        <v>1045.0</v>
      </c>
      <c r="D45" s="304" t="s">
        <v>1215</v>
      </c>
      <c r="E45" s="303" t="s">
        <v>1391</v>
      </c>
      <c r="F45" s="303" t="s">
        <v>1300</v>
      </c>
      <c r="G45" s="304" t="e">
        <v>#N/A</v>
      </c>
      <c r="H45" s="273" t="e">
        <v>#N/A</v>
      </c>
      <c r="I45" s="276" t="s">
        <v>35</v>
      </c>
      <c r="J45" s="277" t="e">
        <v>#N/A</v>
      </c>
    </row>
    <row r="46" hidden="1">
      <c r="A46" s="272">
        <v>350.0</v>
      </c>
      <c r="B46" s="273">
        <v>555.0</v>
      </c>
      <c r="C46" s="273" t="s">
        <v>1392</v>
      </c>
      <c r="D46" s="304" t="s">
        <v>1233</v>
      </c>
      <c r="E46" s="303" t="s">
        <v>1393</v>
      </c>
      <c r="F46" s="303" t="s">
        <v>1300</v>
      </c>
      <c r="G46" s="304" t="e">
        <v>#N/A</v>
      </c>
      <c r="H46" s="273" t="e">
        <v>#N/A</v>
      </c>
      <c r="I46" s="276" t="s">
        <v>35</v>
      </c>
      <c r="J46" s="277" t="e">
        <v>#N/A</v>
      </c>
    </row>
    <row r="47" hidden="1">
      <c r="A47" s="272">
        <v>1388.0</v>
      </c>
      <c r="B47" s="273">
        <v>585.0</v>
      </c>
      <c r="C47" s="273">
        <v>1388.0</v>
      </c>
      <c r="D47" s="304" t="s">
        <v>1282</v>
      </c>
      <c r="E47" s="303" t="s">
        <v>1394</v>
      </c>
      <c r="F47" s="303" t="s">
        <v>1300</v>
      </c>
      <c r="G47" s="304" t="e">
        <v>#N/A</v>
      </c>
      <c r="H47" s="273" t="e">
        <v>#N/A</v>
      </c>
      <c r="I47" s="276" t="s">
        <v>35</v>
      </c>
      <c r="J47" s="277" t="e">
        <v>#N/A</v>
      </c>
    </row>
    <row r="48" hidden="1">
      <c r="A48" s="272">
        <v>351.0</v>
      </c>
      <c r="B48" s="273">
        <v>588.0</v>
      </c>
      <c r="C48" s="273" t="s">
        <v>1395</v>
      </c>
      <c r="D48" s="335" t="s">
        <v>421</v>
      </c>
      <c r="E48" s="303" t="s">
        <v>1396</v>
      </c>
      <c r="F48" s="303" t="s">
        <v>1300</v>
      </c>
      <c r="G48" s="304" t="s">
        <v>1397</v>
      </c>
      <c r="H48" s="273">
        <v>9.818917639E9</v>
      </c>
      <c r="I48" s="276" t="s">
        <v>35</v>
      </c>
      <c r="J48" s="277" t="s">
        <v>422</v>
      </c>
    </row>
  </sheetData>
  <autoFilter ref="$A$5:$J$48">
    <filterColumn colId="8">
      <filters blank="1"/>
    </filterColumn>
  </autoFilter>
  <customSheetViews>
    <customSheetView guid="{8D321D32-C538-4F99-A133-732AA9E194E7}" filter="1" showAutoFilter="1">
      <autoFilter ref="$A$5:$J$48"/>
    </customSheetView>
    <customSheetView guid="{3244BD90-1F1B-49B1-9805-E2AEEAC5DF7E}" filter="1" showAutoFilter="1">
      <autoFilter ref="$A$5:$J$48"/>
    </customSheetView>
    <customSheetView guid="{461316B6-17F5-406C-AD29-9E9E363CFA06}" filter="1" showAutoFilter="1">
      <autoFilter ref="$A$5:$J$48"/>
    </customSheetView>
    <customSheetView guid="{8C74C9FC-D395-430E-9425-07E8EBD06DD9}" filter="1" showAutoFilter="1">
      <autoFilter ref="$A$5:$J$48"/>
    </customSheetView>
    <customSheetView guid="{89D674A9-5E02-46F3-8EAE-C90AAEBD18CB}" filter="1" showAutoFilter="1">
      <autoFilter ref="$A$5:$J$48">
        <filterColumn colId="8">
          <filters blank="1">
            <filter val="No"/>
          </filters>
        </filterColumn>
      </autoFilter>
    </customSheetView>
    <customSheetView guid="{83CFE988-7961-4294-A58B-6D43D804AA72}" filter="1" showAutoFilter="1">
      <autoFilter ref="$A$5:$J$48"/>
    </customSheetView>
    <customSheetView guid="{1DC2AD82-D692-4630-94C1-2791270E8794}" filter="1" showAutoFilter="1">
      <autoFilter ref="$J$3"/>
    </customSheetView>
    <customSheetView guid="{29638FDE-F393-4482-95FA-94A7C29B2F6D}" filter="1" showAutoFilter="1">
      <autoFilter ref="$A$5:$J$48">
        <filterColumn colId="8">
          <filters blank="1">
            <filter val="No"/>
          </filters>
        </filterColumn>
      </autoFilter>
    </customSheetView>
    <customSheetView guid="{E011813A-1907-4E19-A9F9-B58EB77877E4}" filter="1" showAutoFilter="1">
      <autoFilter ref="$A$5:$J$48"/>
    </customSheetView>
    <customSheetView guid="{59693195-0373-46FB-A9CA-38C62EF18CBE}" filter="1" showAutoFilter="1">
      <autoFilter ref="$A$5:$J$48"/>
    </customSheetView>
    <customSheetView guid="{B8F91280-5839-4824-9837-B33C2803B9C9}" filter="1" showAutoFilter="1">
      <autoFilter ref="$A$5:$J$48"/>
    </customSheetView>
    <customSheetView guid="{4B942B8B-C855-402E-B1CA-C99DA2CDE73C}" filter="1" showAutoFilter="1">
      <autoFilter ref="$A$5:$J$48"/>
    </customSheetView>
    <customSheetView guid="{55429418-C5E5-48EC-BE8C-D5FCDB9B5FF0}" filter="1" showAutoFilter="1">
      <autoFilter ref="$A$5:$J$48"/>
    </customSheetView>
    <customSheetView guid="{28CBDBE6-D2F0-42B2-8EAC-A47764FF5CBC}" filter="1" showAutoFilter="1">
      <autoFilter ref="$A$5:$J$48">
        <filterColumn colId="5">
          <filters blank="1">
            <filter val="Private"/>
          </filters>
        </filterColumn>
        <filterColumn colId="8">
          <filters blank="1">
            <filter val="No"/>
          </filters>
        </filterColumn>
      </autoFilter>
    </customSheetView>
    <customSheetView guid="{0FE39A5F-C5C4-4C74-B50C-08D37C704852}" filter="1" showAutoFilter="1">
      <autoFilter ref="$A$5:$J$48"/>
    </customSheetView>
    <customSheetView guid="{D0F387BE-95CD-4215-B4D7-7CB6B328D750}" filter="1" showAutoFilter="1">
      <autoFilter ref="$A$5:$J$48"/>
    </customSheetView>
    <customSheetView guid="{03BA606A-9EF1-488F-B5B6-5F234A109122}" filter="1" showAutoFilter="1">
      <autoFilter ref="$A$5:$J$48"/>
    </customSheetView>
    <customSheetView guid="{1C94B833-20B3-4B74-ACE6-0864EB8F8213}" filter="1" showAutoFilter="1">
      <autoFilter ref="$A$5:$J$48"/>
    </customSheetView>
    <customSheetView guid="{BE7EE906-3AC6-489B-8307-8DCF78AC4CC4}" filter="1" showAutoFilter="1">
      <autoFilter ref="$A$5:$J$48">
        <filterColumn colId="8">
          <filters blank="1">
            <filter val="No"/>
          </filters>
        </filterColumn>
      </autoFilter>
    </customSheetView>
    <customSheetView guid="{4CDEB16D-957F-46E0-B073-82BA58078811}" filter="1" showAutoFilter="1">
      <autoFilter ref="$A$5:$J$48"/>
    </customSheetView>
    <customSheetView guid="{26145B14-D411-4703-A550-BC4D66DDB855}" filter="1" showAutoFilter="1">
      <autoFilter ref="$A$5:$J$48"/>
    </customSheetView>
    <customSheetView guid="{B340BCCB-2239-4F53-A7F5-8859E4CC659F}" filter="1" showAutoFilter="1">
      <autoFilter ref="$A$5:$J$48"/>
    </customSheetView>
    <customSheetView guid="{F8C118C5-118F-4E9B-9306-7A818040F34B}" filter="1" showAutoFilter="1">
      <autoFilter ref="$J$3"/>
    </customSheetView>
    <customSheetView guid="{B995BA34-E10D-40AF-AA8C-B5692B2826B5}" filter="1" showAutoFilter="1">
      <autoFilter ref="$A$5:$I$48">
        <filterColumn colId="8">
          <filters/>
        </filterColumn>
      </autoFilter>
    </customSheetView>
    <customSheetView guid="{41EC89E4-EEB1-42F9-9D42-62D67780E2D1}" filter="1" showAutoFilter="1">
      <autoFilter ref="$A$5:$J$48">
        <filterColumn colId="8">
          <filters blank="1">
            <filter val="No"/>
          </filters>
        </filterColumn>
      </autoFilter>
    </customSheetView>
    <customSheetView guid="{F79953EE-21CA-4328-B7CE-2E5232C4758F}" filter="1" showAutoFilter="1">
      <autoFilter ref="$A$5:$J$48"/>
    </customSheetView>
    <customSheetView guid="{3D2377A7-7B9A-4DD0-8064-B35170BE2591}" filter="1" showAutoFilter="1">
      <autoFilter ref="$A$5:$J$48">
        <filterColumn colId="6">
          <filters blank="1">
            <filter val="Mohit"/>
            <filter val="no"/>
            <filter val="Avinash Kumar"/>
            <filter val="VIKASH SAINI"/>
            <filter val="Mohammad Hifzur Rehman"/>
            <filter val="Shoukat Ali"/>
            <filter val="Umesh electronic"/>
            <filter val="CHANDANI SHUKALA"/>
            <filter val="No technical team"/>
            <filter val="JAVED"/>
            <filter val="Dr. Om Prakash"/>
            <filter val="Bhanu Pratap"/>
            <filter val="Prakashini"/>
            <filter val="SANDEEP KUMAR"/>
            <filter val="IMRAN, SHIVAM"/>
          </filters>
        </filterColumn>
      </autoFilter>
    </customSheetView>
    <customSheetView guid="{19BDEF7B-6167-46F4-96D1-80D9261FEA6F}" filter="1" showAutoFilter="1">
      <autoFilter ref="$A$5:$J$48">
        <filterColumn colId="8">
          <filters blank="1">
            <filter val="No"/>
          </filters>
        </filterColumn>
      </autoFilter>
    </customSheetView>
  </customSheetViews>
  <dataValidations>
    <dataValidation type="list" allowBlank="1" sqref="I6:I48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>
      <pane xSplit="4.0" topLeftCell="E1" activePane="topRight" state="frozen"/>
      <selection activeCell="F2" sqref="F2" pane="topRight"/>
    </sheetView>
  </sheetViews>
  <sheetFormatPr customHeight="1" defaultColWidth="12.63" defaultRowHeight="15.75"/>
  <cols>
    <col customWidth="1" hidden="1" min="1" max="1" width="13.63"/>
    <col customWidth="1" hidden="1" min="2" max="2" width="10.63"/>
    <col customWidth="1" min="3" max="3" width="6.13"/>
    <col customWidth="1" min="4" max="4" width="22.63"/>
    <col customWidth="1" min="5" max="5" width="77.75"/>
    <col customWidth="1" min="6" max="6" width="16.63"/>
    <col customWidth="1" min="7" max="7" width="12.5"/>
    <col customWidth="1" hidden="1" min="8" max="8" width="26.0"/>
  </cols>
  <sheetData>
    <row r="1">
      <c r="A1" s="224"/>
      <c r="B1" s="224"/>
      <c r="C1" s="225">
        <v>1.0</v>
      </c>
      <c r="D1" s="226" t="s">
        <v>1398</v>
      </c>
      <c r="E1" s="227" t="s">
        <v>1399</v>
      </c>
      <c r="F1" s="227"/>
      <c r="G1" s="16"/>
      <c r="H1" s="229"/>
    </row>
    <row r="2" hidden="1">
      <c r="A2" s="6" t="s">
        <v>0</v>
      </c>
      <c r="B2" s="231"/>
      <c r="C2" s="231"/>
      <c r="D2" s="231"/>
      <c r="E2" s="232"/>
      <c r="F2" s="233"/>
      <c r="G2" s="234"/>
      <c r="H2" s="229"/>
    </row>
    <row r="3">
      <c r="A3" s="339"/>
      <c r="B3" s="340"/>
      <c r="C3" s="341"/>
      <c r="D3" s="341"/>
      <c r="E3" s="342"/>
      <c r="F3" s="343"/>
      <c r="G3" s="248"/>
      <c r="H3" s="254"/>
    </row>
    <row r="4">
      <c r="A4" s="20"/>
      <c r="B4" s="249"/>
      <c r="C4" s="250"/>
      <c r="D4" s="250"/>
      <c r="E4" s="251"/>
      <c r="F4" s="252"/>
      <c r="G4" s="248"/>
      <c r="H4" s="254"/>
    </row>
    <row r="5">
      <c r="A5" s="26" t="s">
        <v>6</v>
      </c>
      <c r="B5" s="27" t="s">
        <v>6</v>
      </c>
      <c r="C5" s="344" t="s">
        <v>1324</v>
      </c>
      <c r="D5" s="345" t="s">
        <v>6</v>
      </c>
      <c r="E5" s="346" t="s">
        <v>1325</v>
      </c>
      <c r="F5" s="346" t="s">
        <v>1326</v>
      </c>
      <c r="G5" s="347" t="s">
        <v>12</v>
      </c>
      <c r="H5" s="243" t="s">
        <v>15</v>
      </c>
    </row>
    <row r="6" hidden="1">
      <c r="A6" s="258">
        <v>362.0</v>
      </c>
      <c r="B6" s="259">
        <v>362.0</v>
      </c>
      <c r="C6" s="348">
        <v>1.0</v>
      </c>
      <c r="D6" s="260" t="str">
        <f>IFERROR(__xludf.DUMMYFUNCTION("if(B6&lt;=999,if(B6&lt;=99,IF(B6&lt;=9,join(,""000"",B6),join(,""00"",B6)),join(,""0"",B6)),B6)"),"0362")</f>
        <v>0362</v>
      </c>
      <c r="E6" s="262" t="s">
        <v>19</v>
      </c>
      <c r="F6" s="263" t="str">
        <f>vlookup(B6,'Geotagging Master All-Training '!$A$2:$C$2474,2,false)</f>
        <v>#N/A</v>
      </c>
      <c r="G6" s="349" t="s">
        <v>20</v>
      </c>
      <c r="H6" s="350">
        <v>80.0</v>
      </c>
    </row>
    <row r="7" hidden="1">
      <c r="A7" s="258">
        <v>1001.0</v>
      </c>
      <c r="B7" s="259">
        <v>1001.0</v>
      </c>
      <c r="C7" s="348">
        <v>2.0</v>
      </c>
      <c r="D7" s="260">
        <f>IFERROR(__xludf.DUMMYFUNCTION("if(B7&lt;=999,if(B7&lt;=99,IF(B7&lt;=9,join(,""000"",B7),join(,""00"",B7)),join(,""0"",B7)),B7)"),1001.0)</f>
        <v>1001</v>
      </c>
      <c r="E7" s="262" t="s">
        <v>27</v>
      </c>
      <c r="F7" s="263" t="str">
        <f>vlookup(B7,'Geotagging Master All-Training '!$A$2:$C$2474,2,false)</f>
        <v>#N/A</v>
      </c>
      <c r="G7" s="349" t="s">
        <v>20</v>
      </c>
      <c r="H7" s="350" t="s">
        <v>30</v>
      </c>
    </row>
    <row r="8" hidden="1">
      <c r="A8" s="258">
        <v>1120.0</v>
      </c>
      <c r="B8" s="259">
        <v>1120.0</v>
      </c>
      <c r="C8" s="348">
        <v>3.0</v>
      </c>
      <c r="D8" s="260">
        <f>IFERROR(__xludf.DUMMYFUNCTION("if(B8&lt;=999,if(B8&lt;=99,IF(B8&lt;=9,join(,""000"",B8),join(,""00"",B8)),join(,""0"",B8)),B8)"),1120.0)</f>
        <v>1120</v>
      </c>
      <c r="E8" s="270" t="s">
        <v>33</v>
      </c>
      <c r="F8" s="263" t="str">
        <f>vlookup(B8,'Geotagging Master All-Training '!$A$2:$C$2474,2,false)</f>
        <v>#N/A</v>
      </c>
      <c r="G8" s="349" t="s">
        <v>20</v>
      </c>
      <c r="H8" s="350"/>
    </row>
    <row r="9" hidden="1">
      <c r="A9" s="258">
        <v>222.0</v>
      </c>
      <c r="B9" s="259">
        <v>222.0</v>
      </c>
      <c r="C9" s="348">
        <v>4.0</v>
      </c>
      <c r="D9" s="260" t="str">
        <f>IFERROR(__xludf.DUMMYFUNCTION("if(B9&lt;=999,if(B9&lt;=99,IF(B9&lt;=9,join(,""000"",B9),join(,""00"",B9)),join(,""0"",B9)),B9)"),"0222")</f>
        <v>0222</v>
      </c>
      <c r="E9" s="270" t="s">
        <v>40</v>
      </c>
      <c r="F9" s="263" t="str">
        <f>vlookup(B9,'Geotagging Master All-Training '!$A$2:$C$2474,2,false)</f>
        <v>#N/A</v>
      </c>
      <c r="G9" s="349" t="s">
        <v>20</v>
      </c>
      <c r="H9" s="350" t="s">
        <v>42</v>
      </c>
    </row>
    <row r="10" hidden="1">
      <c r="A10" s="258">
        <v>417.0</v>
      </c>
      <c r="B10" s="259">
        <v>417.0</v>
      </c>
      <c r="C10" s="348">
        <v>5.0</v>
      </c>
      <c r="D10" s="260" t="str">
        <f>IFERROR(__xludf.DUMMYFUNCTION("if(B10&lt;=999,if(B10&lt;=99,IF(B10&lt;=9,join(,""000"",B10),join(,""00"",B10)),join(,""0"",B10)),B10)"),"0417")</f>
        <v>0417</v>
      </c>
      <c r="E10" s="270" t="s">
        <v>44</v>
      </c>
      <c r="F10" s="263" t="str">
        <f>vlookup(B10,'Geotagging Master All-Training '!$A$2:$C$2474,2,false)</f>
        <v>#N/A</v>
      </c>
      <c r="G10" s="349" t="s">
        <v>20</v>
      </c>
      <c r="H10" s="350" t="e">
        <v>#N/A</v>
      </c>
    </row>
    <row r="11" hidden="1">
      <c r="A11" s="258">
        <v>884.0</v>
      </c>
      <c r="B11" s="259">
        <v>884.0</v>
      </c>
      <c r="C11" s="348">
        <v>6.0</v>
      </c>
      <c r="D11" s="260" t="str">
        <f>IFERROR(__xludf.DUMMYFUNCTION("if(B11&lt;=999,if(B11&lt;=99,IF(B11&lt;=9,join(,""000"",B11),join(,""00"",B11)),join(,""0"",B11)),B11)"),"0884")</f>
        <v>0884</v>
      </c>
      <c r="E11" s="270" t="s">
        <v>45</v>
      </c>
      <c r="F11" s="263" t="str">
        <f>vlookup(B11,'Geotagging Master All-Training '!$A$2:$C$2474,2,false)</f>
        <v>#N/A</v>
      </c>
      <c r="G11" s="349" t="s">
        <v>20</v>
      </c>
      <c r="H11" s="350" t="e">
        <v>#N/A</v>
      </c>
    </row>
    <row r="12" hidden="1">
      <c r="A12" s="272">
        <v>1285.0</v>
      </c>
      <c r="B12" s="272">
        <v>1285.0</v>
      </c>
      <c r="C12" s="348">
        <v>7.0</v>
      </c>
      <c r="D12" s="273">
        <f>IFERROR(__xludf.DUMMYFUNCTION("if(B12&lt;=999,if(B12&lt;=99,IF(B12&lt;=9,join(,""000"",B12),join(,""00"",B12)),join(,""0"",B12)),B12)"),1285.0)</f>
        <v>1285</v>
      </c>
      <c r="E12" s="274" t="s">
        <v>47</v>
      </c>
      <c r="F12" s="263" t="str">
        <f>vlookup(B12,'Geotagging Master All-Training '!$A$2:$C$2474,2,false)</f>
        <v>#N/A</v>
      </c>
      <c r="G12" s="351" t="s">
        <v>20</v>
      </c>
      <c r="H12" s="352">
        <v>16.0</v>
      </c>
    </row>
    <row r="13" hidden="1">
      <c r="A13" s="258">
        <v>1220.0</v>
      </c>
      <c r="B13" s="259">
        <v>1220.0</v>
      </c>
      <c r="C13" s="348">
        <v>8.0</v>
      </c>
      <c r="D13" s="260">
        <f>IFERROR(__xludf.DUMMYFUNCTION("if(B13&lt;=999,if(B13&lt;=99,IF(B13&lt;=9,join(,""000"",B13),join(,""00"",B13)),join(,""0"",B13)),B13)"),1220.0)</f>
        <v>1220</v>
      </c>
      <c r="E13" s="262" t="s">
        <v>51</v>
      </c>
      <c r="F13" s="263" t="str">
        <f>vlookup(B13,'Geotagging Master All-Training '!$A$2:$C$2474,2,false)</f>
        <v>#N/A</v>
      </c>
      <c r="G13" s="349" t="s">
        <v>20</v>
      </c>
      <c r="H13" s="350" t="s">
        <v>53</v>
      </c>
    </row>
    <row r="14" hidden="1">
      <c r="A14" s="258">
        <v>55.0</v>
      </c>
      <c r="B14" s="259">
        <v>55.0</v>
      </c>
      <c r="C14" s="348">
        <v>9.0</v>
      </c>
      <c r="D14" s="260" t="str">
        <f>IFERROR(__xludf.DUMMYFUNCTION("if(B14&lt;=999,if(B14&lt;=99,IF(B14&lt;=9,join(,""000"",B14),join(,""00"",B14)),join(,""0"",B14)),B14)"),"0055")</f>
        <v>0055</v>
      </c>
      <c r="E14" s="262" t="s">
        <v>57</v>
      </c>
      <c r="F14" s="263" t="str">
        <f>vlookup(B14,'Geotagging Master All-Training '!$A$2:$C$2474,2,false)</f>
        <v>#N/A</v>
      </c>
      <c r="G14" s="349" t="s">
        <v>20</v>
      </c>
      <c r="H14" s="350">
        <v>37777.0</v>
      </c>
    </row>
    <row r="15" hidden="1">
      <c r="A15" s="258">
        <v>223.0</v>
      </c>
      <c r="B15" s="258">
        <v>223.0</v>
      </c>
      <c r="C15" s="348">
        <v>10.0</v>
      </c>
      <c r="D15" s="260" t="str">
        <f>IFERROR(__xludf.DUMMYFUNCTION("if(B15&lt;=999,if(B15&lt;=99,IF(B15&lt;=9,join(,""000"",B15),join(,""00"",B15)),join(,""0"",B15)),B15)"),"0223")</f>
        <v>0223</v>
      </c>
      <c r="E15" s="262" t="s">
        <v>59</v>
      </c>
      <c r="F15" s="263" t="str">
        <f>vlookup(B15,'Geotagging Master All-Training '!$A$2:$C$2474,2,false)</f>
        <v>#N/A</v>
      </c>
      <c r="G15" s="349" t="s">
        <v>20</v>
      </c>
      <c r="H15" s="350">
        <v>2902.0</v>
      </c>
    </row>
    <row r="16" hidden="1">
      <c r="A16" s="258">
        <v>1067.0</v>
      </c>
      <c r="B16" s="258">
        <v>1067.0</v>
      </c>
      <c r="C16" s="348">
        <v>11.0</v>
      </c>
      <c r="D16" s="260">
        <f>IFERROR(__xludf.DUMMYFUNCTION("if(B16&lt;=999,if(B16&lt;=99,IF(B16&lt;=9,join(,""000"",B16),join(,""00"",B16)),join(,""0"",B16)),B16)"),1067.0)</f>
        <v>1067</v>
      </c>
      <c r="E16" s="262" t="s">
        <v>62</v>
      </c>
      <c r="F16" s="263" t="str">
        <f>vlookup(B16,'Geotagging Master All-Training '!$A$2:$C$2474,2,false)</f>
        <v>#N/A</v>
      </c>
      <c r="G16" s="349" t="s">
        <v>20</v>
      </c>
      <c r="H16" s="350">
        <v>16.0</v>
      </c>
    </row>
    <row r="17" hidden="1">
      <c r="A17" s="258">
        <v>29.0</v>
      </c>
      <c r="B17" s="258">
        <v>29.0</v>
      </c>
      <c r="C17" s="348">
        <v>13.0</v>
      </c>
      <c r="D17" s="260" t="str">
        <f>IFERROR(__xludf.DUMMYFUNCTION("if(B17&lt;=999,if(B17&lt;=99,IF(B17&lt;=9,join(,""000"",B17),join(,""00"",B17)),join(,""0"",B17)),B17)"),"0029")</f>
        <v>0029</v>
      </c>
      <c r="E17" s="270" t="s">
        <v>828</v>
      </c>
      <c r="F17" s="263" t="str">
        <f>vlookup(B17,'Geotagging Master All-Training '!$A$2:$C$2474,2,false)</f>
        <v>#N/A</v>
      </c>
      <c r="G17" s="349" t="s">
        <v>20</v>
      </c>
      <c r="H17" s="350">
        <v>25001.0</v>
      </c>
    </row>
    <row r="18" hidden="1">
      <c r="A18" s="258">
        <v>1211.0</v>
      </c>
      <c r="B18" s="258">
        <v>1211.0</v>
      </c>
      <c r="C18" s="348">
        <v>14.0</v>
      </c>
      <c r="D18" s="260">
        <f>IFERROR(__xludf.DUMMYFUNCTION("if(B18&lt;=999,if(B18&lt;=99,IF(B18&lt;=9,join(,""000"",B18),join(,""00"",B18)),join(,""0"",B18)),B18)"),1211.0)</f>
        <v>1211</v>
      </c>
      <c r="E18" s="270" t="s">
        <v>69</v>
      </c>
      <c r="F18" s="263" t="str">
        <f>vlookup(B18,'Geotagging Master All-Training '!$A$2:$C$2474,2,false)</f>
        <v>#N/A</v>
      </c>
      <c r="G18" s="349" t="s">
        <v>20</v>
      </c>
      <c r="H18" s="350">
        <v>9500.0</v>
      </c>
    </row>
    <row r="19" hidden="1">
      <c r="A19" s="258">
        <v>1031.0</v>
      </c>
      <c r="B19" s="258">
        <v>1031.0</v>
      </c>
      <c r="C19" s="348">
        <v>15.0</v>
      </c>
      <c r="D19" s="260">
        <f>IFERROR(__xludf.DUMMYFUNCTION("if(B19&lt;=999,if(B19&lt;=99,IF(B19&lt;=9,join(,""000"",B19),join(,""00"",B19)),join(,""0"",B19)),B19)"),1031.0)</f>
        <v>1031</v>
      </c>
      <c r="E19" s="262" t="s">
        <v>71</v>
      </c>
      <c r="F19" s="263" t="str">
        <f>vlookup(B19,'Geotagging Master All-Training '!$A$2:$C$2474,2,false)</f>
        <v>#N/A</v>
      </c>
      <c r="G19" s="349" t="s">
        <v>20</v>
      </c>
      <c r="H19" s="350" t="e">
        <v>#N/A</v>
      </c>
    </row>
    <row r="20" hidden="1">
      <c r="A20" s="258">
        <v>1082.0</v>
      </c>
      <c r="B20" s="258">
        <v>1082.0</v>
      </c>
      <c r="C20" s="348">
        <v>16.0</v>
      </c>
      <c r="D20" s="260">
        <f>IFERROR(__xludf.DUMMYFUNCTION("if(B20&lt;=999,if(B20&lt;=99,IF(B20&lt;=9,join(,""000"",B20),join(,""00"",B20)),join(,""0"",B20)),B20)"),1082.0)</f>
        <v>1082</v>
      </c>
      <c r="E20" s="270" t="s">
        <v>72</v>
      </c>
      <c r="F20" s="263" t="str">
        <f>vlookup(B20,'Geotagging Master All-Training '!$A$2:$C$2474,2,false)</f>
        <v>#N/A</v>
      </c>
      <c r="G20" s="349" t="s">
        <v>20</v>
      </c>
      <c r="H20" s="350">
        <v>16.0</v>
      </c>
    </row>
    <row r="21" hidden="1">
      <c r="A21" s="258">
        <v>245.0</v>
      </c>
      <c r="B21" s="259">
        <v>245.0</v>
      </c>
      <c r="C21" s="348">
        <v>17.0</v>
      </c>
      <c r="D21" s="260" t="str">
        <f>IFERROR(__xludf.DUMMYFUNCTION("if(B21&lt;=999,if(B21&lt;=99,IF(B21&lt;=9,join(,""000"",B21),join(,""00"",B21)),join(,""0"",B21)),B21)"),"0245")</f>
        <v>0245</v>
      </c>
      <c r="E21" s="262" t="s">
        <v>74</v>
      </c>
      <c r="F21" s="263" t="str">
        <f>vlookup(B21,'Geotagging Master All-Training '!$A$2:$C$2474,2,false)</f>
        <v>#N/A</v>
      </c>
      <c r="G21" s="349" t="s">
        <v>20</v>
      </c>
      <c r="H21" s="350">
        <v>123.0</v>
      </c>
    </row>
    <row r="22" hidden="1">
      <c r="A22" s="258">
        <v>40.0</v>
      </c>
      <c r="B22" s="259">
        <v>40.0</v>
      </c>
      <c r="C22" s="348">
        <v>18.0</v>
      </c>
      <c r="D22" s="260" t="str">
        <f>IFERROR(__xludf.DUMMYFUNCTION("if(B22&lt;=999,if(B22&lt;=99,IF(B22&lt;=9,join(,""000"",B22),join(,""00"",B22)),join(,""0"",B22)),B22)"),"0040")</f>
        <v>0040</v>
      </c>
      <c r="E22" s="262" t="s">
        <v>76</v>
      </c>
      <c r="F22" s="263" t="str">
        <f>vlookup(B22,'Geotagging Master All-Training '!$A$2:$C$2474,2,false)</f>
        <v>#N/A</v>
      </c>
      <c r="G22" s="349" t="s">
        <v>20</v>
      </c>
      <c r="H22" s="350" t="s">
        <v>79</v>
      </c>
    </row>
    <row r="23" hidden="1">
      <c r="A23" s="272">
        <v>39.0</v>
      </c>
      <c r="B23" s="272">
        <v>39.0</v>
      </c>
      <c r="C23" s="348">
        <v>19.0</v>
      </c>
      <c r="D23" s="273" t="str">
        <f>IFERROR(__xludf.DUMMYFUNCTION("if(B23&lt;=999,if(B23&lt;=99,IF(B23&lt;=9,join(,""000"",B23),join(,""00"",B23)),join(,""0"",B23)),B23)"),"0039")</f>
        <v>0039</v>
      </c>
      <c r="E23" s="274" t="s">
        <v>83</v>
      </c>
      <c r="F23" s="263" t="str">
        <f>vlookup(B23,'Geotagging Master All-Training '!$A$2:$C$2474,2,false)</f>
        <v>#N/A</v>
      </c>
      <c r="G23" s="351" t="s">
        <v>20</v>
      </c>
      <c r="H23" s="352">
        <v>20.0</v>
      </c>
    </row>
    <row r="24" hidden="1">
      <c r="A24" s="272">
        <v>86.0</v>
      </c>
      <c r="B24" s="272">
        <v>86.0</v>
      </c>
      <c r="C24" s="348">
        <v>20.0</v>
      </c>
      <c r="D24" s="273" t="str">
        <f>IFERROR(__xludf.DUMMYFUNCTION("if(B24&lt;=999,if(B24&lt;=99,IF(B24&lt;=9,join(,""000"",B24),join(,""00"",B24)),join(,""0"",B24)),B24)"),"0086")</f>
        <v>0086</v>
      </c>
      <c r="E24" s="274" t="s">
        <v>88</v>
      </c>
      <c r="F24" s="263" t="str">
        <f>vlookup(B24,'Geotagging Master All-Training '!$A$2:$C$2474,2,false)</f>
        <v>#N/A</v>
      </c>
      <c r="G24" s="351" t="s">
        <v>20</v>
      </c>
      <c r="H24" s="352" t="e">
        <v>#N/A</v>
      </c>
    </row>
    <row r="25">
      <c r="A25" s="272">
        <v>59.0</v>
      </c>
      <c r="B25" s="272">
        <v>59.0</v>
      </c>
      <c r="C25" s="353">
        <v>1.0</v>
      </c>
      <c r="D25" s="273" t="s">
        <v>1400</v>
      </c>
      <c r="E25" s="304" t="s">
        <v>90</v>
      </c>
      <c r="F25" s="303" t="s">
        <v>1401</v>
      </c>
      <c r="G25" s="351" t="s">
        <v>35</v>
      </c>
      <c r="H25" s="352" t="e">
        <v>#N/A</v>
      </c>
    </row>
    <row r="26" hidden="1">
      <c r="A26" s="258">
        <v>466.0</v>
      </c>
      <c r="B26" s="258">
        <v>466.0</v>
      </c>
      <c r="C26" s="348">
        <v>22.0</v>
      </c>
      <c r="D26" s="260" t="str">
        <f>IFERROR(__xludf.DUMMYFUNCTION("if(B26&lt;=999,if(B26&lt;=99,IF(B26&lt;=9,join(,""000"",B26),join(,""00"",B26)),join(,""0"",B26)),B26)"),"0466")</f>
        <v>0466</v>
      </c>
      <c r="E26" s="270" t="s">
        <v>91</v>
      </c>
      <c r="F26" s="263" t="str">
        <f>vlookup(B26,'Geotagging Master All-Training '!$A$2:$C$2474,2,false)</f>
        <v>#N/A</v>
      </c>
      <c r="G26" s="349" t="s">
        <v>20</v>
      </c>
      <c r="H26" s="350">
        <v>80.0</v>
      </c>
    </row>
    <row r="27" hidden="1">
      <c r="A27" s="258">
        <v>46.0</v>
      </c>
      <c r="B27" s="258">
        <v>46.0</v>
      </c>
      <c r="C27" s="348">
        <v>23.0</v>
      </c>
      <c r="D27" s="260" t="str">
        <f>IFERROR(__xludf.DUMMYFUNCTION("if(B27&lt;=999,if(B27&lt;=99,IF(B27&lt;=9,join(,""000"",B27),join(,""00"",B27)),join(,""0"",B27)),B27)"),"0046")</f>
        <v>0046</v>
      </c>
      <c r="E27" s="270" t="s">
        <v>92</v>
      </c>
      <c r="F27" s="263" t="str">
        <f>vlookup(B27,'Geotagging Master All-Training '!$A$2:$C$2474,2,false)</f>
        <v>#N/A</v>
      </c>
      <c r="G27" s="349" t="s">
        <v>20</v>
      </c>
      <c r="H27" s="350"/>
    </row>
    <row r="28" hidden="1">
      <c r="A28" s="305">
        <v>1088.0</v>
      </c>
      <c r="B28" s="305">
        <v>1088.0</v>
      </c>
      <c r="C28" s="348">
        <v>24.0</v>
      </c>
      <c r="D28" s="306">
        <f>IFERROR(__xludf.DUMMYFUNCTION("if(B28&lt;=999,if(B28&lt;=99,IF(B28&lt;=9,join(,""000"",B28),join(,""00"",B28)),join(,""0"",B28)),B28)"),1088.0)</f>
        <v>1088</v>
      </c>
      <c r="E28" s="307" t="s">
        <v>94</v>
      </c>
      <c r="F28" s="263" t="str">
        <f>vlookup(B28,'Geotagging Master All-Training '!$A$2:$C$2474,2,false)</f>
        <v>#N/A</v>
      </c>
      <c r="G28" s="354" t="s">
        <v>20</v>
      </c>
      <c r="H28" s="355">
        <v>8181.0</v>
      </c>
    </row>
    <row r="29" hidden="1">
      <c r="A29" s="258">
        <v>347.0</v>
      </c>
      <c r="B29" s="258">
        <v>347.0</v>
      </c>
      <c r="C29" s="348">
        <v>25.0</v>
      </c>
      <c r="D29" s="260" t="str">
        <f>IFERROR(__xludf.DUMMYFUNCTION("if(B29&lt;=999,if(B29&lt;=99,IF(B29&lt;=9,join(,""000"",B29),join(,""00"",B29)),join(,""0"",B29)),B29)"),"0347")</f>
        <v>0347</v>
      </c>
      <c r="E29" s="270" t="s">
        <v>98</v>
      </c>
      <c r="F29" s="263" t="str">
        <f>vlookup(B29,'Geotagging Master All-Training '!$A$2:$C$2474,2,false)</f>
        <v>#N/A</v>
      </c>
      <c r="G29" s="349" t="s">
        <v>20</v>
      </c>
      <c r="H29" s="350">
        <v>554.0</v>
      </c>
    </row>
    <row r="30" hidden="1">
      <c r="A30" s="258">
        <v>686.0</v>
      </c>
      <c r="B30" s="258">
        <v>686.0</v>
      </c>
      <c r="C30" s="348">
        <v>26.0</v>
      </c>
      <c r="D30" s="260" t="str">
        <f>IFERROR(__xludf.DUMMYFUNCTION("if(B30&lt;=999,if(B30&lt;=99,IF(B30&lt;=9,join(,""000"",B30),join(,""00"",B30)),join(,""0"",B30)),B30)"),"0686")</f>
        <v>0686</v>
      </c>
      <c r="E30" s="270" t="s">
        <v>831</v>
      </c>
      <c r="F30" s="263" t="str">
        <f>vlookup(B30,'Geotagging Master All-Training '!$A$2:$C$2474,2,false)</f>
        <v>#N/A</v>
      </c>
      <c r="G30" s="349" t="s">
        <v>20</v>
      </c>
      <c r="H30" s="350">
        <v>25001.0</v>
      </c>
    </row>
    <row r="31" hidden="1">
      <c r="A31" s="258">
        <v>232.0</v>
      </c>
      <c r="B31" s="259">
        <v>232.0</v>
      </c>
      <c r="C31" s="348">
        <v>27.0</v>
      </c>
      <c r="D31" s="260" t="str">
        <f>IFERROR(__xludf.DUMMYFUNCTION("if(B31&lt;=999,if(B31&lt;=99,IF(B31&lt;=9,join(,""000"",B31),join(,""00"",B31)),join(,""0"",B31)),B31)"),"0232")</f>
        <v>0232</v>
      </c>
      <c r="E31" s="262" t="s">
        <v>105</v>
      </c>
      <c r="F31" s="263" t="str">
        <f>vlookup(B31,'Geotagging Master All-Training '!$A$2:$C$2474,2,false)</f>
        <v>#N/A</v>
      </c>
      <c r="G31" s="349" t="s">
        <v>20</v>
      </c>
      <c r="H31" s="350" t="e">
        <v>#N/A</v>
      </c>
    </row>
    <row r="32" hidden="1">
      <c r="A32" s="258">
        <v>802.0</v>
      </c>
      <c r="B32" s="258">
        <v>802.0</v>
      </c>
      <c r="C32" s="348">
        <v>28.0</v>
      </c>
      <c r="D32" s="260" t="str">
        <f>IFERROR(__xludf.DUMMYFUNCTION("if(B32&lt;=999,if(B32&lt;=99,IF(B32&lt;=9,join(,""000"",B32),join(,""00"",B32)),join(,""0"",B32)),B32)"),"0802")</f>
        <v>0802</v>
      </c>
      <c r="E32" s="262" t="s">
        <v>107</v>
      </c>
      <c r="F32" s="263" t="str">
        <f>vlookup(B32,'Geotagging Master All-Training '!$A$2:$C$2474,2,false)</f>
        <v>#N/A</v>
      </c>
      <c r="G32" s="349" t="s">
        <v>20</v>
      </c>
      <c r="H32" s="350" t="s">
        <v>108</v>
      </c>
    </row>
    <row r="33" hidden="1">
      <c r="A33" s="258">
        <v>1255.0</v>
      </c>
      <c r="B33" s="258">
        <v>1255.0</v>
      </c>
      <c r="C33" s="348">
        <v>29.0</v>
      </c>
      <c r="D33" s="260">
        <f>IFERROR(__xludf.DUMMYFUNCTION("if(B33&lt;=999,if(B33&lt;=99,IF(B33&lt;=9,join(,""000"",B33),join(,""00"",B33)),join(,""0"",B33)),B33)"),1255.0)</f>
        <v>1255</v>
      </c>
      <c r="E33" s="262" t="s">
        <v>109</v>
      </c>
      <c r="F33" s="263" t="str">
        <f>vlookup(B33,'Geotagging Master All-Training '!$A$2:$C$2474,2,false)</f>
        <v>#N/A</v>
      </c>
      <c r="G33" s="349" t="s">
        <v>20</v>
      </c>
      <c r="H33" s="350">
        <v>16.0</v>
      </c>
    </row>
    <row r="34" hidden="1">
      <c r="A34" s="258">
        <v>1205.0</v>
      </c>
      <c r="B34" s="258">
        <v>1205.0</v>
      </c>
      <c r="C34" s="348">
        <v>30.0</v>
      </c>
      <c r="D34" s="260">
        <f>IFERROR(__xludf.DUMMYFUNCTION("if(B34&lt;=999,if(B34&lt;=99,IF(B34&lt;=9,join(,""000"",B34),join(,""00"",B34)),join(,""0"",B34)),B34)"),1205.0)</f>
        <v>1205</v>
      </c>
      <c r="E34" s="262" t="s">
        <v>111</v>
      </c>
      <c r="F34" s="263" t="str">
        <f>vlookup(B34,'Geotagging Master All-Training '!$A$2:$C$2474,2,false)</f>
        <v>#N/A</v>
      </c>
      <c r="G34" s="349" t="s">
        <v>20</v>
      </c>
      <c r="H34" s="350">
        <v>16.0</v>
      </c>
    </row>
    <row r="35" hidden="1">
      <c r="A35" s="258">
        <v>1353.0</v>
      </c>
      <c r="B35" s="258">
        <v>1353.0</v>
      </c>
      <c r="C35" s="348">
        <v>31.0</v>
      </c>
      <c r="D35" s="260"/>
      <c r="E35" s="262" t="s">
        <v>112</v>
      </c>
      <c r="F35" s="263" t="str">
        <f>vlookup(B35,'Geotagging Master All-Training '!$A$2:$C$2474,2,false)</f>
        <v>#N/A</v>
      </c>
      <c r="G35" s="349" t="s">
        <v>20</v>
      </c>
      <c r="H35" s="350">
        <v>80.0</v>
      </c>
    </row>
    <row r="36">
      <c r="A36" s="272">
        <v>1383.0</v>
      </c>
      <c r="B36" s="272">
        <v>1383.0</v>
      </c>
      <c r="C36" s="353">
        <v>2.0</v>
      </c>
      <c r="D36" s="273">
        <v>1383.0</v>
      </c>
      <c r="E36" s="304" t="s">
        <v>115</v>
      </c>
      <c r="F36" s="303" t="s">
        <v>1402</v>
      </c>
      <c r="G36" s="351" t="s">
        <v>35</v>
      </c>
      <c r="H36" s="352" t="e">
        <v>#N/A</v>
      </c>
    </row>
    <row r="37" hidden="1">
      <c r="A37" s="258">
        <v>757.0</v>
      </c>
      <c r="B37" s="258">
        <v>757.0</v>
      </c>
      <c r="C37" s="348">
        <v>33.0</v>
      </c>
      <c r="D37" s="260" t="str">
        <f>IFERROR(__xludf.DUMMYFUNCTION("if(B37&lt;=999,if(B37&lt;=99,IF(B37&lt;=9,join(,""000"",B37),join(,""00"",B37)),join(,""0"",B37)),B37)"),"0757")</f>
        <v>0757</v>
      </c>
      <c r="E37" s="270" t="s">
        <v>116</v>
      </c>
      <c r="F37" s="263" t="str">
        <f>vlookup(B37,'Geotagging Master All-Training '!$A$2:$C$2474,2,false)</f>
        <v>#N/A</v>
      </c>
      <c r="G37" s="349" t="s">
        <v>20</v>
      </c>
      <c r="H37" s="350">
        <v>16.0</v>
      </c>
    </row>
    <row r="38" hidden="1">
      <c r="A38" s="258">
        <v>1376.0</v>
      </c>
      <c r="B38" s="258">
        <v>1376.0</v>
      </c>
      <c r="C38" s="348">
        <v>34.0</v>
      </c>
      <c r="D38" s="260">
        <f>IFERROR(__xludf.DUMMYFUNCTION("if(B38&lt;=999,if(B38&lt;=99,IF(B38&lt;=9,join(,""000"",B38),join(,""00"",B38)),join(,""0"",B38)),B38)"),1376.0)</f>
        <v>1376</v>
      </c>
      <c r="E38" s="262" t="s">
        <v>118</v>
      </c>
      <c r="F38" s="263" t="str">
        <f>vlookup(B38,'Geotagging Master All-Training '!$A$2:$C$2474,2,false)</f>
        <v>#N/A</v>
      </c>
      <c r="G38" s="349" t="s">
        <v>20</v>
      </c>
      <c r="H38" s="350">
        <v>80.0</v>
      </c>
    </row>
    <row r="39" hidden="1">
      <c r="A39" s="272">
        <v>1018.0</v>
      </c>
      <c r="B39" s="272">
        <v>1018.0</v>
      </c>
      <c r="C39" s="348">
        <v>35.0</v>
      </c>
      <c r="D39" s="273">
        <f>IFERROR(__xludf.DUMMYFUNCTION("if(B39&lt;=999,if(B39&lt;=99,IF(B39&lt;=9,join(,""000"",B39),join(,""00"",B39)),join(,""0"",B39)),B39)"),1018.0)</f>
        <v>1018</v>
      </c>
      <c r="E39" s="274" t="s">
        <v>120</v>
      </c>
      <c r="F39" s="263" t="str">
        <f>vlookup(B39,'Geotagging Master All-Training '!$A$2:$C$2474,2,false)</f>
        <v>#N/A</v>
      </c>
      <c r="G39" s="351" t="s">
        <v>20</v>
      </c>
      <c r="H39" s="352" t="s">
        <v>123</v>
      </c>
    </row>
    <row r="40" hidden="1">
      <c r="A40" s="258">
        <v>287.0</v>
      </c>
      <c r="B40" s="259">
        <v>287.0</v>
      </c>
      <c r="C40" s="348">
        <v>36.0</v>
      </c>
      <c r="D40" s="260" t="str">
        <f>IFERROR(__xludf.DUMMYFUNCTION("if(B40&lt;=999,if(B40&lt;=99,IF(B40&lt;=9,join(,""000"",B40),join(,""00"",B40)),join(,""0"",B40)),B40)"),"0287")</f>
        <v>0287</v>
      </c>
      <c r="E40" s="262" t="s">
        <v>125</v>
      </c>
      <c r="F40" s="263" t="str">
        <f>vlookup(B40,'Geotagging Master All-Training '!$A$2:$C$2474,2,false)</f>
        <v>#N/A</v>
      </c>
      <c r="G40" s="349" t="s">
        <v>20</v>
      </c>
      <c r="H40" s="350">
        <v>25001.0</v>
      </c>
    </row>
    <row r="41" hidden="1">
      <c r="A41" s="258">
        <v>1414.0</v>
      </c>
      <c r="B41" s="259">
        <v>1414.0</v>
      </c>
      <c r="C41" s="348">
        <v>37.0</v>
      </c>
      <c r="D41" s="260">
        <f>IFERROR(__xludf.DUMMYFUNCTION("if(B41&lt;=999,if(B41&lt;=99,IF(B41&lt;=9,join(,""000"",B41),join(,""00"",B41)),join(,""0"",B41)),B41)"),1414.0)</f>
        <v>1414</v>
      </c>
      <c r="E41" s="270" t="s">
        <v>127</v>
      </c>
      <c r="F41" s="263" t="str">
        <f>vlookup(B41,'Geotagging Master All-Training '!$A$2:$C$2474,2,false)</f>
        <v>#N/A</v>
      </c>
      <c r="G41" s="349" t="s">
        <v>20</v>
      </c>
      <c r="H41" s="350">
        <v>8080.0</v>
      </c>
    </row>
    <row r="42" hidden="1">
      <c r="A42" s="258">
        <v>1430.0</v>
      </c>
      <c r="B42" s="259">
        <v>1430.0</v>
      </c>
      <c r="C42" s="348">
        <v>38.0</v>
      </c>
      <c r="D42" s="260">
        <f>IFERROR(__xludf.DUMMYFUNCTION("if(B42&lt;=999,if(B42&lt;=99,IF(B42&lt;=9,join(,""000"",B42),join(,""00"",B42)),join(,""0"",B42)),B42)"),1430.0)</f>
        <v>1430</v>
      </c>
      <c r="E42" s="262" t="s">
        <v>131</v>
      </c>
      <c r="F42" s="263" t="str">
        <f>vlookup(B42,'Geotagging Master All-Training '!$A$2:$C$2474,2,false)</f>
        <v>#N/A</v>
      </c>
      <c r="G42" s="349" t="s">
        <v>20</v>
      </c>
      <c r="H42" s="350">
        <v>16.0</v>
      </c>
    </row>
    <row r="43" hidden="1">
      <c r="A43" s="258">
        <v>1418.0</v>
      </c>
      <c r="B43" s="258">
        <v>1418.0</v>
      </c>
      <c r="C43" s="348">
        <v>39.0</v>
      </c>
      <c r="D43" s="260">
        <f>IFERROR(__xludf.DUMMYFUNCTION("if(B43&lt;=999,if(B43&lt;=99,IF(B43&lt;=9,join(,""000"",B43),join(,""00"",B43)),join(,""0"",B43)),B43)"),1418.0)</f>
        <v>1418</v>
      </c>
      <c r="E43" s="262" t="s">
        <v>132</v>
      </c>
      <c r="F43" s="263" t="str">
        <f>vlookup(B43,'Geotagging Master All-Training '!$A$2:$C$2474,2,false)</f>
        <v>#N/A</v>
      </c>
      <c r="G43" s="349" t="s">
        <v>20</v>
      </c>
      <c r="H43" s="350">
        <v>16.0</v>
      </c>
    </row>
    <row r="44" hidden="1">
      <c r="A44" s="258">
        <v>1254.0</v>
      </c>
      <c r="B44" s="258">
        <v>1254.0</v>
      </c>
      <c r="C44" s="348">
        <v>40.0</v>
      </c>
      <c r="D44" s="260">
        <f>IFERROR(__xludf.DUMMYFUNCTION("if(B44&lt;=999,if(B44&lt;=99,IF(B44&lt;=9,join(,""000"",B44),join(,""00"",B44)),join(,""0"",B44)),B44)"),1254.0)</f>
        <v>1254</v>
      </c>
      <c r="E44" s="262" t="s">
        <v>135</v>
      </c>
      <c r="F44" s="263" t="str">
        <f>vlookup(B44,'Geotagging Master All-Training '!$A$2:$C$2474,2,false)</f>
        <v>#N/A</v>
      </c>
      <c r="G44" s="349" t="s">
        <v>20</v>
      </c>
      <c r="H44" s="350">
        <v>80.0</v>
      </c>
    </row>
    <row r="45" hidden="1">
      <c r="A45" s="258">
        <v>1098.0</v>
      </c>
      <c r="B45" s="259">
        <v>1098.0</v>
      </c>
      <c r="C45" s="348">
        <v>41.0</v>
      </c>
      <c r="D45" s="260">
        <f>IFERROR(__xludf.DUMMYFUNCTION("if(B45&lt;=999,if(B45&lt;=99,IF(B45&lt;=9,join(,""000"",B45),join(,""00"",B45)),join(,""0"",B45)),B45)"),1098.0)</f>
        <v>1098</v>
      </c>
      <c r="E45" s="262" t="s">
        <v>136</v>
      </c>
      <c r="F45" s="263" t="str">
        <f>vlookup(B45,'Geotagging Master All-Training '!$A$2:$C$2474,2,false)</f>
        <v>#N/A</v>
      </c>
      <c r="G45" s="349" t="s">
        <v>20</v>
      </c>
      <c r="H45" s="350" t="s">
        <v>139</v>
      </c>
    </row>
    <row r="46" hidden="1">
      <c r="A46" s="258">
        <v>1024.0</v>
      </c>
      <c r="B46" s="258">
        <v>1024.0</v>
      </c>
      <c r="C46" s="348">
        <v>42.0</v>
      </c>
      <c r="D46" s="260">
        <f>IFERROR(__xludf.DUMMYFUNCTION("if(B46&lt;=999,if(B46&lt;=99,IF(B46&lt;=9,join(,""000"",B46),join(,""00"",B46)),join(,""0"",B46)),B46)"),1024.0)</f>
        <v>1024</v>
      </c>
      <c r="E46" s="270" t="s">
        <v>140</v>
      </c>
      <c r="F46" s="263" t="str">
        <f>vlookup(B46,'Geotagging Master All-Training '!$A$2:$C$2474,2,false)</f>
        <v>#N/A</v>
      </c>
      <c r="G46" s="349" t="s">
        <v>20</v>
      </c>
      <c r="H46" s="350">
        <v>5005.0</v>
      </c>
    </row>
    <row r="47" hidden="1">
      <c r="A47" s="258">
        <v>344.0</v>
      </c>
      <c r="B47" s="258">
        <v>344.0</v>
      </c>
      <c r="C47" s="348">
        <v>43.0</v>
      </c>
      <c r="D47" s="260" t="str">
        <f>IFERROR(__xludf.DUMMYFUNCTION("if(B47&lt;=999,if(B47&lt;=99,IF(B47&lt;=9,join(,""000"",B47),join(,""00"",B47)),join(,""0"",B47)),B47)"),"0344")</f>
        <v>0344</v>
      </c>
      <c r="E47" s="262" t="s">
        <v>141</v>
      </c>
      <c r="F47" s="263" t="str">
        <f>vlookup(B47,'Geotagging Master All-Training '!$A$2:$C$2474,2,false)</f>
        <v>#N/A</v>
      </c>
      <c r="G47" s="349" t="s">
        <v>20</v>
      </c>
      <c r="H47" s="350" t="e">
        <v>#N/A</v>
      </c>
    </row>
    <row r="48" hidden="1">
      <c r="A48" s="272">
        <v>1194.0</v>
      </c>
      <c r="B48" s="272">
        <v>1194.0</v>
      </c>
      <c r="C48" s="348">
        <v>44.0</v>
      </c>
      <c r="D48" s="273">
        <f>IFERROR(__xludf.DUMMYFUNCTION("if(B48&lt;=999,if(B48&lt;=99,IF(B48&lt;=9,join(,""000"",B48),join(,""00"",B48)),join(,""0"",B48)),B48)"),1194.0)</f>
        <v>1194</v>
      </c>
      <c r="E48" s="274" t="s">
        <v>142</v>
      </c>
      <c r="F48" s="263" t="str">
        <f>vlookup(B48,'Geotagging Master All-Training '!$A$2:$C$2474,2,false)</f>
        <v>#N/A</v>
      </c>
      <c r="G48" s="351" t="s">
        <v>20</v>
      </c>
      <c r="H48" s="352">
        <v>37777.0</v>
      </c>
    </row>
    <row r="49" hidden="1">
      <c r="A49" s="258">
        <v>1398.0</v>
      </c>
      <c r="B49" s="258">
        <v>1398.0</v>
      </c>
      <c r="C49" s="348">
        <v>45.0</v>
      </c>
      <c r="D49" s="260">
        <f>IFERROR(__xludf.DUMMYFUNCTION("if(B49&lt;=999,if(B49&lt;=99,IF(B49&lt;=9,join(,""000"",B49),join(,""00"",B49)),join(,""0"",B49)),B49)"),1398.0)</f>
        <v>1398</v>
      </c>
      <c r="E49" s="270" t="s">
        <v>145</v>
      </c>
      <c r="F49" s="263" t="str">
        <f>vlookup(B49,'Geotagging Master All-Training '!$A$2:$C$2474,2,false)</f>
        <v>#N/A</v>
      </c>
      <c r="G49" s="349" t="s">
        <v>20</v>
      </c>
      <c r="H49" s="350">
        <v>34567.0</v>
      </c>
    </row>
    <row r="50" hidden="1">
      <c r="A50" s="258">
        <v>1155.0</v>
      </c>
      <c r="B50" s="259">
        <v>1155.0</v>
      </c>
      <c r="C50" s="348">
        <v>46.0</v>
      </c>
      <c r="D50" s="260">
        <f>IFERROR(__xludf.DUMMYFUNCTION("if(B50&lt;=999,if(B50&lt;=99,IF(B50&lt;=9,join(,""000"",B50),join(,""00"",B50)),join(,""0"",B50)),B50)"),1155.0)</f>
        <v>1155</v>
      </c>
      <c r="E50" s="262" t="s">
        <v>147</v>
      </c>
      <c r="F50" s="263" t="str">
        <f>vlookup(B50,'Geotagging Master All-Training '!$A$2:$C$2474,2,false)</f>
        <v>#N/A</v>
      </c>
      <c r="G50" s="349" t="s">
        <v>20</v>
      </c>
      <c r="H50" s="350" t="e">
        <v>#N/A</v>
      </c>
    </row>
    <row r="51">
      <c r="A51" s="272">
        <v>72.0</v>
      </c>
      <c r="B51" s="272">
        <v>72.0</v>
      </c>
      <c r="C51" s="353">
        <v>3.0</v>
      </c>
      <c r="D51" s="273" t="s">
        <v>1343</v>
      </c>
      <c r="E51" s="304" t="s">
        <v>929</v>
      </c>
      <c r="F51" s="303" t="s">
        <v>1344</v>
      </c>
      <c r="G51" s="351" t="s">
        <v>35</v>
      </c>
      <c r="H51" s="352" t="e">
        <v>#N/A</v>
      </c>
    </row>
    <row r="52" hidden="1">
      <c r="A52" s="258">
        <v>1038.0</v>
      </c>
      <c r="B52" s="259">
        <v>1038.0</v>
      </c>
      <c r="C52" s="348">
        <v>48.0</v>
      </c>
      <c r="D52" s="260">
        <f>IFERROR(__xludf.DUMMYFUNCTION("if(B52&lt;=999,if(B52&lt;=99,IF(B52&lt;=9,join(,""000"",B52),join(,""00"",B52)),join(,""0"",B52)),B52)"),1038.0)</f>
        <v>1038</v>
      </c>
      <c r="E52" s="262" t="s">
        <v>153</v>
      </c>
      <c r="F52" s="263" t="str">
        <f>vlookup(B52,'Geotagging Master All-Training '!$A$2:$C$2474,2,false)</f>
        <v>#N/A</v>
      </c>
      <c r="G52" s="349" t="s">
        <v>20</v>
      </c>
      <c r="H52" s="350">
        <v>16.0</v>
      </c>
    </row>
    <row r="53" hidden="1">
      <c r="A53" s="258">
        <v>519.0</v>
      </c>
      <c r="B53" s="258">
        <v>519.0</v>
      </c>
      <c r="C53" s="348">
        <v>49.0</v>
      </c>
      <c r="D53" s="260" t="str">
        <f>IFERROR(__xludf.DUMMYFUNCTION("if(B53&lt;=999,if(B53&lt;=99,IF(B53&lt;=9,join(,""000"",B53),join(,""00"",B53)),join(,""0"",B53)),B53)"),"0519")</f>
        <v>0519</v>
      </c>
      <c r="E53" s="270" t="s">
        <v>155</v>
      </c>
      <c r="F53" s="263" t="str">
        <f>vlookup(B53,'Geotagging Master All-Training '!$A$2:$C$2474,2,false)</f>
        <v>#N/A</v>
      </c>
      <c r="G53" s="349" t="s">
        <v>20</v>
      </c>
      <c r="H53" s="350" t="s">
        <v>157</v>
      </c>
    </row>
    <row r="54" hidden="1">
      <c r="A54" s="258">
        <v>747.0</v>
      </c>
      <c r="B54" s="258">
        <v>747.0</v>
      </c>
      <c r="C54" s="348">
        <v>50.0</v>
      </c>
      <c r="D54" s="260" t="str">
        <f>IFERROR(__xludf.DUMMYFUNCTION("if(B54&lt;=999,if(B54&lt;=99,IF(B54&lt;=9,join(,""000"",B54),join(,""00"",B54)),join(,""0"",B54)),B54)"),"0747")</f>
        <v>0747</v>
      </c>
      <c r="E54" s="270" t="s">
        <v>160</v>
      </c>
      <c r="F54" s="263" t="str">
        <f>vlookup(B54,'Geotagging Master All-Training '!$A$2:$C$2474,2,false)</f>
        <v>#N/A</v>
      </c>
      <c r="G54" s="349" t="s">
        <v>20</v>
      </c>
      <c r="H54" s="350" t="s">
        <v>157</v>
      </c>
    </row>
    <row r="55" hidden="1">
      <c r="A55" s="258">
        <v>649.0</v>
      </c>
      <c r="B55" s="259">
        <v>649.0</v>
      </c>
      <c r="C55" s="348">
        <v>51.0</v>
      </c>
      <c r="D55" s="260" t="str">
        <f>IFERROR(__xludf.DUMMYFUNCTION("if(B55&lt;=999,if(B55&lt;=99,IF(B55&lt;=9,join(,""000"",B55),join(,""00"",B55)),join(,""0"",B55)),B55)"),"0649")</f>
        <v>0649</v>
      </c>
      <c r="E55" s="262" t="s">
        <v>161</v>
      </c>
      <c r="F55" s="263" t="str">
        <f>vlookup(B55,'Geotagging Master All-Training '!$A$2:$C$2474,2,false)</f>
        <v>#N/A</v>
      </c>
      <c r="G55" s="349" t="s">
        <v>20</v>
      </c>
      <c r="H55" s="356" t="s">
        <v>25</v>
      </c>
    </row>
    <row r="56" hidden="1">
      <c r="A56" s="258">
        <v>412.0</v>
      </c>
      <c r="B56" s="258">
        <v>412.0</v>
      </c>
      <c r="C56" s="348">
        <v>52.0</v>
      </c>
      <c r="D56" s="260" t="str">
        <f>IFERROR(__xludf.DUMMYFUNCTION("if(B56&lt;=999,if(B56&lt;=99,IF(B56&lt;=9,join(,""000"",B56),join(,""00"",B56)),join(,""0"",B56)),B56)"),"0412")</f>
        <v>0412</v>
      </c>
      <c r="E56" s="262" t="s">
        <v>166</v>
      </c>
      <c r="F56" s="263" t="str">
        <f>vlookup(B56,'Geotagging Master All-Training '!$A$2:$C$2474,2,false)</f>
        <v>#N/A</v>
      </c>
      <c r="G56" s="349" t="s">
        <v>20</v>
      </c>
      <c r="H56" s="356" t="s">
        <v>25</v>
      </c>
    </row>
    <row r="57" hidden="1">
      <c r="A57" s="258">
        <v>20.0</v>
      </c>
      <c r="B57" s="258">
        <v>20.0</v>
      </c>
      <c r="C57" s="348">
        <v>53.0</v>
      </c>
      <c r="D57" s="260" t="str">
        <f>IFERROR(__xludf.DUMMYFUNCTION("if(B57&lt;=999,if(B57&lt;=99,IF(B57&lt;=9,join(,""000"",B57),join(,""00"",B57)),join(,""0"",B57)),B57)"),"0020")</f>
        <v>0020</v>
      </c>
      <c r="E57" s="262" t="s">
        <v>164</v>
      </c>
      <c r="F57" s="263" t="str">
        <f>vlookup(B57,'Geotagging Master All-Training '!$A$2:$C$2474,2,false)</f>
        <v>#N/A</v>
      </c>
      <c r="G57" s="349" t="s">
        <v>20</v>
      </c>
      <c r="H57" s="356" t="s">
        <v>25</v>
      </c>
    </row>
    <row r="58" hidden="1">
      <c r="A58" s="258">
        <v>363.0</v>
      </c>
      <c r="B58" s="259">
        <v>363.0</v>
      </c>
      <c r="C58" s="348">
        <v>54.0</v>
      </c>
      <c r="D58" s="260" t="str">
        <f>IFERROR(__xludf.DUMMYFUNCTION("if(B58&lt;=999,if(B58&lt;=99,IF(B58&lt;=9,join(,""000"",B58),join(,""00"",B58)),join(,""0"",B58)),B58)"),"0363")</f>
        <v>0363</v>
      </c>
      <c r="E58" s="262" t="s">
        <v>167</v>
      </c>
      <c r="F58" s="263" t="str">
        <f>vlookup(B58,'Geotagging Master All-Training '!$A$2:$C$2474,2,false)</f>
        <v>#N/A</v>
      </c>
      <c r="G58" s="349" t="s">
        <v>20</v>
      </c>
      <c r="H58" s="356" t="s">
        <v>25</v>
      </c>
    </row>
    <row r="59" hidden="1">
      <c r="A59" s="258">
        <v>1141.0</v>
      </c>
      <c r="B59" s="258">
        <v>1141.0</v>
      </c>
      <c r="C59" s="348">
        <v>55.0</v>
      </c>
      <c r="D59" s="260">
        <f>IFERROR(__xludf.DUMMYFUNCTION("if(B59&lt;=999,if(B59&lt;=99,IF(B59&lt;=9,join(,""000"",B59),join(,""00"",B59)),join(,""0"",B59)),B59)"),1141.0)</f>
        <v>1141</v>
      </c>
      <c r="E59" s="270" t="s">
        <v>168</v>
      </c>
      <c r="F59" s="263" t="str">
        <f>vlookup(B59,'Geotagging Master All-Training '!$A$2:$C$2474,2,false)</f>
        <v>#N/A</v>
      </c>
      <c r="G59" s="349" t="s">
        <v>20</v>
      </c>
      <c r="H59" s="350" t="s">
        <v>171</v>
      </c>
    </row>
    <row r="60" ht="20.25" hidden="1" customHeight="1">
      <c r="A60" s="258">
        <v>746.0</v>
      </c>
      <c r="B60" s="258">
        <v>746.0</v>
      </c>
      <c r="C60" s="348">
        <v>56.0</v>
      </c>
      <c r="D60" s="260" t="str">
        <f>IFERROR(__xludf.DUMMYFUNCTION("if(B60&lt;=999,if(B60&lt;=99,IF(B60&lt;=9,join(,""000"",B60),join(,""00"",B60)),join(,""0"",B60)),B60)"),"0746")</f>
        <v>0746</v>
      </c>
      <c r="E60" s="270" t="s">
        <v>170</v>
      </c>
      <c r="F60" s="263" t="str">
        <f>vlookup(B60,'Geotagging Master All-Training '!$A$2:$C$2474,2,false)</f>
        <v>#N/A</v>
      </c>
      <c r="G60" s="349" t="s">
        <v>20</v>
      </c>
      <c r="H60" s="350" t="s">
        <v>171</v>
      </c>
    </row>
    <row r="61" hidden="1">
      <c r="A61" s="258">
        <v>1209.0</v>
      </c>
      <c r="B61" s="258">
        <v>1209.0</v>
      </c>
      <c r="C61" s="348">
        <v>57.0</v>
      </c>
      <c r="D61" s="260">
        <f>IFERROR(__xludf.DUMMYFUNCTION("if(B61&lt;=999,if(B61&lt;=99,IF(B61&lt;=9,join(,""000"",B61),join(,""00"",B61)),join(,""0"",B61)),B61)"),1209.0)</f>
        <v>1209</v>
      </c>
      <c r="E61" s="262" t="s">
        <v>172</v>
      </c>
      <c r="F61" s="263" t="str">
        <f>vlookup(B61,'Geotagging Master All-Training '!$A$2:$C$2474,2,false)</f>
        <v>#N/A</v>
      </c>
      <c r="G61" s="349" t="s">
        <v>20</v>
      </c>
      <c r="H61" s="350"/>
    </row>
    <row r="62" hidden="1">
      <c r="A62" s="258">
        <v>398.0</v>
      </c>
      <c r="B62" s="259">
        <v>398.0</v>
      </c>
      <c r="C62" s="348">
        <v>58.0</v>
      </c>
      <c r="D62" s="260" t="str">
        <f>IFERROR(__xludf.DUMMYFUNCTION("if(B62&lt;=999,if(B62&lt;=99,IF(B62&lt;=9,join(,""000"",B62),join(,""00"",B62)),join(,""0"",B62)),B62)"),"0398")</f>
        <v>0398</v>
      </c>
      <c r="E62" s="270" t="s">
        <v>174</v>
      </c>
      <c r="F62" s="263" t="str">
        <f>vlookup(B62,'Geotagging Master All-Training '!$A$2:$C$2474,2,false)</f>
        <v>#N/A</v>
      </c>
      <c r="G62" s="349" t="s">
        <v>20</v>
      </c>
      <c r="H62" s="350" t="e">
        <v>#N/A</v>
      </c>
    </row>
    <row r="63" hidden="1">
      <c r="A63" s="258">
        <v>1036.0</v>
      </c>
      <c r="B63" s="258">
        <v>1036.0</v>
      </c>
      <c r="C63" s="348">
        <v>59.0</v>
      </c>
      <c r="D63" s="260">
        <f>IFERROR(__xludf.DUMMYFUNCTION("if(B63&lt;=999,if(B63&lt;=99,IF(B63&lt;=9,join(,""000"",B63),join(,""00"",B63)),join(,""0"",B63)),B63)"),1036.0)</f>
        <v>1036</v>
      </c>
      <c r="E63" s="270" t="s">
        <v>175</v>
      </c>
      <c r="F63" s="263" t="str">
        <f>vlookup(B63,'Geotagging Master All-Training '!$A$2:$C$2474,2,false)</f>
        <v>#N/A</v>
      </c>
      <c r="G63" s="349" t="s">
        <v>20</v>
      </c>
      <c r="H63" s="350">
        <v>16.0</v>
      </c>
    </row>
    <row r="64" hidden="1">
      <c r="A64" s="258">
        <v>1107.0</v>
      </c>
      <c r="B64" s="259">
        <v>1107.0</v>
      </c>
      <c r="C64" s="348">
        <v>60.0</v>
      </c>
      <c r="D64" s="260">
        <f>IFERROR(__xludf.DUMMYFUNCTION("if(B64&lt;=999,if(B64&lt;=99,IF(B64&lt;=9,join(,""000"",B64),join(,""00"",B64)),join(,""0"",B64)),B64)"),1107.0)</f>
        <v>1107</v>
      </c>
      <c r="E64" s="270" t="s">
        <v>177</v>
      </c>
      <c r="F64" s="263" t="str">
        <f>vlookup(B64,'Geotagging Master All-Training '!$A$2:$C$2474,2,false)</f>
        <v>#N/A</v>
      </c>
      <c r="G64" s="349" t="s">
        <v>20</v>
      </c>
      <c r="H64" s="350" t="s">
        <v>178</v>
      </c>
    </row>
    <row r="65" hidden="1">
      <c r="A65" s="258">
        <v>1294.0</v>
      </c>
      <c r="B65" s="258">
        <v>1294.0</v>
      </c>
      <c r="C65" s="348">
        <v>61.0</v>
      </c>
      <c r="D65" s="260">
        <f>IFERROR(__xludf.DUMMYFUNCTION("if(B65&lt;=999,if(B65&lt;=99,IF(B65&lt;=9,join(,""000"",B65),join(,""00"",B65)),join(,""0"",B65)),B65)"),1294.0)</f>
        <v>1294</v>
      </c>
      <c r="E65" s="262" t="s">
        <v>180</v>
      </c>
      <c r="F65" s="263" t="str">
        <f>vlookup(B65,'Geotagging Master All-Training '!$A$2:$C$2474,2,false)</f>
        <v>#N/A</v>
      </c>
      <c r="G65" s="349" t="s">
        <v>20</v>
      </c>
      <c r="H65" s="350">
        <v>25001.0</v>
      </c>
    </row>
    <row r="66" hidden="1">
      <c r="A66" s="258">
        <v>1213.0</v>
      </c>
      <c r="B66" s="259">
        <v>1213.0</v>
      </c>
      <c r="C66" s="348">
        <v>62.0</v>
      </c>
      <c r="D66" s="260">
        <f>IFERROR(__xludf.DUMMYFUNCTION("if(B66&lt;=999,if(B66&lt;=99,IF(B66&lt;=9,join(,""000"",B66),join(,""00"",B66)),join(,""0"",B66)),B66)"),1213.0)</f>
        <v>1213</v>
      </c>
      <c r="E66" s="262" t="s">
        <v>183</v>
      </c>
      <c r="F66" s="263" t="str">
        <f>vlookup(B66,'Geotagging Master All-Training '!$A$2:$C$2474,2,false)</f>
        <v>#N/A</v>
      </c>
      <c r="G66" s="349" t="s">
        <v>20</v>
      </c>
      <c r="H66" s="350">
        <v>25001.0</v>
      </c>
    </row>
    <row r="67">
      <c r="A67" s="272">
        <v>118.0</v>
      </c>
      <c r="B67" s="272">
        <v>118.0</v>
      </c>
      <c r="C67" s="353">
        <v>4.0</v>
      </c>
      <c r="D67" s="273" t="s">
        <v>1346</v>
      </c>
      <c r="E67" s="304" t="s">
        <v>917</v>
      </c>
      <c r="F67" s="303" t="s">
        <v>1344</v>
      </c>
      <c r="G67" s="351" t="s">
        <v>35</v>
      </c>
      <c r="H67" s="352">
        <v>16.0</v>
      </c>
    </row>
    <row r="68" hidden="1">
      <c r="A68" s="258">
        <v>535.0</v>
      </c>
      <c r="B68" s="258">
        <v>535.0</v>
      </c>
      <c r="C68" s="348">
        <v>64.0</v>
      </c>
      <c r="D68" s="260" t="str">
        <f>IFERROR(__xludf.DUMMYFUNCTION("if(B68&lt;=999,if(B68&lt;=99,IF(B68&lt;=9,join(,""000"",B68),join(,""00"",B68)),join(,""0"",B68)),B68)"),"0535")</f>
        <v>0535</v>
      </c>
      <c r="E68" s="262" t="s">
        <v>185</v>
      </c>
      <c r="F68" s="263" t="str">
        <f>vlookup(B68,'Geotagging Master All-Training '!$A$2:$C$2474,2,false)</f>
        <v>#N/A</v>
      </c>
      <c r="G68" s="349" t="s">
        <v>20</v>
      </c>
      <c r="H68" s="350" t="e">
        <v>#N/A</v>
      </c>
    </row>
    <row r="69" hidden="1">
      <c r="A69" s="258">
        <v>1311.0</v>
      </c>
      <c r="B69" s="258">
        <v>1311.0</v>
      </c>
      <c r="C69" s="348">
        <v>65.0</v>
      </c>
      <c r="D69" s="260">
        <f>IFERROR(__xludf.DUMMYFUNCTION("if(B69&lt;=999,if(B69&lt;=99,IF(B69&lt;=9,join(,""000"",B69),join(,""00"",B69)),join(,""0"",B69)),B69)"),1311.0)</f>
        <v>1311</v>
      </c>
      <c r="E69" s="270" t="s">
        <v>189</v>
      </c>
      <c r="F69" s="263" t="str">
        <f>vlookup(B69,'Geotagging Master All-Training '!$A$2:$C$2474,2,false)</f>
        <v>#N/A</v>
      </c>
      <c r="G69" s="349" t="s">
        <v>20</v>
      </c>
      <c r="H69" s="350" t="s">
        <v>35</v>
      </c>
    </row>
    <row r="70" hidden="1">
      <c r="A70" s="258">
        <v>668.0</v>
      </c>
      <c r="B70" s="258">
        <v>668.0</v>
      </c>
      <c r="C70" s="348">
        <v>66.0</v>
      </c>
      <c r="D70" s="260" t="str">
        <f>IFERROR(__xludf.DUMMYFUNCTION("if(B70&lt;=999,if(B70&lt;=99,IF(B70&lt;=9,join(,""000"",B70),join(,""00"",B70)),join(,""0"",B70)),B70)"),"0668")</f>
        <v>0668</v>
      </c>
      <c r="E70" s="270" t="s">
        <v>193</v>
      </c>
      <c r="F70" s="263" t="str">
        <f>vlookup(B70,'Geotagging Master All-Training '!$A$2:$C$2474,2,false)</f>
        <v>#N/A</v>
      </c>
      <c r="G70" s="349" t="s">
        <v>20</v>
      </c>
      <c r="H70" s="350">
        <v>16.0</v>
      </c>
    </row>
    <row r="71" hidden="1">
      <c r="A71" s="272">
        <v>1341.0</v>
      </c>
      <c r="B71" s="272">
        <v>1341.0</v>
      </c>
      <c r="C71" s="348">
        <v>67.0</v>
      </c>
      <c r="D71" s="273">
        <f>IFERROR(__xludf.DUMMYFUNCTION("if(B71&lt;=999,if(B71&lt;=99,IF(B71&lt;=9,join(,""000"",B71),join(,""00"",B71)),join(,""0"",B71)),B71)"),1341.0)</f>
        <v>1341</v>
      </c>
      <c r="E71" s="304" t="s">
        <v>194</v>
      </c>
      <c r="F71" s="263" t="str">
        <f>vlookup(B71,'Geotagging Master All-Training '!$A$2:$C$2474,2,false)</f>
        <v>#N/A</v>
      </c>
      <c r="G71" s="351" t="s">
        <v>20</v>
      </c>
      <c r="H71" s="352" t="s">
        <v>197</v>
      </c>
    </row>
    <row r="72" hidden="1">
      <c r="A72" s="258">
        <v>1403.0</v>
      </c>
      <c r="B72" s="259">
        <v>1403.0</v>
      </c>
      <c r="C72" s="348">
        <v>68.0</v>
      </c>
      <c r="D72" s="260">
        <f>IFERROR(__xludf.DUMMYFUNCTION("if(B72&lt;=999,if(B72&lt;=99,IF(B72&lt;=9,join(,""000"",B72),join(,""00"",B72)),join(,""0"",B72)),B72)"),1403.0)</f>
        <v>1403</v>
      </c>
      <c r="E72" s="270" t="s">
        <v>198</v>
      </c>
      <c r="F72" s="263" t="str">
        <f>vlookup(B72,'Geotagging Master All-Training '!$A$2:$C$2474,2,false)</f>
        <v>#N/A</v>
      </c>
      <c r="G72" s="349" t="s">
        <v>20</v>
      </c>
      <c r="H72" s="350">
        <v>37777.0</v>
      </c>
    </row>
    <row r="73" hidden="1">
      <c r="A73" s="272">
        <v>1265.0</v>
      </c>
      <c r="B73" s="272">
        <v>1265.0</v>
      </c>
      <c r="C73" s="348">
        <v>69.0</v>
      </c>
      <c r="D73" s="273">
        <f>IFERROR(__xludf.DUMMYFUNCTION("if(B73&lt;=999,if(B73&lt;=99,IF(B73&lt;=9,join(,""000"",B73),join(,""00"",B73)),join(,""0"",B73)),B73)"),1265.0)</f>
        <v>1265</v>
      </c>
      <c r="E73" s="274" t="s">
        <v>199</v>
      </c>
      <c r="F73" s="263" t="str">
        <f>vlookup(B73,'Geotagging Master All-Training '!$A$2:$C$2474,2,false)</f>
        <v>#N/A</v>
      </c>
      <c r="G73" s="351" t="s">
        <v>20</v>
      </c>
      <c r="H73" s="352">
        <v>8.0</v>
      </c>
    </row>
    <row r="74" hidden="1">
      <c r="A74" s="258">
        <v>1104.0</v>
      </c>
      <c r="B74" s="258">
        <v>1104.0</v>
      </c>
      <c r="C74" s="348">
        <v>70.0</v>
      </c>
      <c r="D74" s="260">
        <f>IFERROR(__xludf.DUMMYFUNCTION("if(B74&lt;=999,if(B74&lt;=99,IF(B74&lt;=9,join(,""000"",B74),join(,""00"",B74)),join(,""0"",B74)),B74)"),1104.0)</f>
        <v>1104</v>
      </c>
      <c r="E74" s="262" t="s">
        <v>202</v>
      </c>
      <c r="F74" s="263" t="str">
        <f>vlookup(B74,'Geotagging Master All-Training '!$A$2:$C$2474,2,false)</f>
        <v>#N/A</v>
      </c>
      <c r="G74" s="349" t="s">
        <v>20</v>
      </c>
      <c r="H74" s="350">
        <v>8.0</v>
      </c>
    </row>
    <row r="75" hidden="1">
      <c r="A75" s="258">
        <v>1030.0</v>
      </c>
      <c r="B75" s="258">
        <v>1030.0</v>
      </c>
      <c r="C75" s="348">
        <v>71.0</v>
      </c>
      <c r="D75" s="260">
        <f>IFERROR(__xludf.DUMMYFUNCTION("if(B75&lt;=999,if(B75&lt;=99,IF(B75&lt;=9,join(,""000"",B75),join(,""00"",B75)),join(,""0"",B75)),B75)"),1030.0)</f>
        <v>1030</v>
      </c>
      <c r="E75" s="270" t="s">
        <v>203</v>
      </c>
      <c r="F75" s="263" t="str">
        <f>vlookup(B75,'Geotagging Master All-Training '!$A$2:$C$2474,2,false)</f>
        <v>#N/A</v>
      </c>
      <c r="G75" s="349" t="s">
        <v>20</v>
      </c>
      <c r="H75" s="350">
        <v>443.0</v>
      </c>
    </row>
    <row r="76" hidden="1">
      <c r="A76" s="272">
        <v>1426.0</v>
      </c>
      <c r="B76" s="272">
        <v>1426.0</v>
      </c>
      <c r="C76" s="348">
        <v>72.0</v>
      </c>
      <c r="D76" s="273">
        <f>IFERROR(__xludf.DUMMYFUNCTION("if(B76&lt;=999,if(B76&lt;=99,IF(B76&lt;=9,join(,""000"",B76),join(,""00"",B76)),join(,""0"",B76)),B76)"),1426.0)</f>
        <v>1426</v>
      </c>
      <c r="E76" s="274" t="s">
        <v>205</v>
      </c>
      <c r="F76" s="263" t="str">
        <f>vlookup(B76,'Geotagging Master All-Training '!$A$2:$C$2474,2,false)</f>
        <v>#N/A</v>
      </c>
      <c r="G76" s="351" t="s">
        <v>20</v>
      </c>
      <c r="H76" s="352">
        <v>32.0</v>
      </c>
    </row>
    <row r="77">
      <c r="A77" s="272">
        <v>1123.0</v>
      </c>
      <c r="B77" s="272">
        <v>1123.0</v>
      </c>
      <c r="C77" s="353">
        <v>5.0</v>
      </c>
      <c r="D77" s="273">
        <v>1123.0</v>
      </c>
      <c r="E77" s="304" t="s">
        <v>653</v>
      </c>
      <c r="F77" s="303" t="s">
        <v>1348</v>
      </c>
      <c r="G77" s="351" t="s">
        <v>35</v>
      </c>
      <c r="H77" s="352" t="e">
        <v>#N/A</v>
      </c>
    </row>
    <row r="78" hidden="1">
      <c r="A78" s="272">
        <v>460.0</v>
      </c>
      <c r="B78" s="272">
        <v>460.0</v>
      </c>
      <c r="C78" s="348">
        <v>74.0</v>
      </c>
      <c r="D78" s="273" t="str">
        <f>IFERROR(__xludf.DUMMYFUNCTION("if(B78&lt;=999,if(B78&lt;=99,IF(B78&lt;=9,join(,""000"",B78),join(,""00"",B78)),join(,""0"",B78)),B78)"),"0460")</f>
        <v>0460</v>
      </c>
      <c r="E78" s="274" t="s">
        <v>210</v>
      </c>
      <c r="F78" s="263" t="str">
        <f>vlookup(B78,'Geotagging Master All-Training '!$A$2:$C$2474,2,false)</f>
        <v>#N/A</v>
      </c>
      <c r="G78" s="351" t="s">
        <v>20</v>
      </c>
      <c r="H78" s="352">
        <v>8080.0</v>
      </c>
    </row>
    <row r="79" hidden="1">
      <c r="A79" s="258">
        <v>792.0</v>
      </c>
      <c r="B79" s="258">
        <v>792.0</v>
      </c>
      <c r="C79" s="348">
        <v>75.0</v>
      </c>
      <c r="D79" s="260" t="str">
        <f>IFERROR(__xludf.DUMMYFUNCTION("if(B79&lt;=999,if(B79&lt;=99,IF(B79&lt;=9,join(,""000"",B79),join(,""00"",B79)),join(,""0"",B79)),B79)"),"0792")</f>
        <v>0792</v>
      </c>
      <c r="E79" s="262" t="s">
        <v>212</v>
      </c>
      <c r="F79" s="263" t="str">
        <f>vlookup(B79,'Geotagging Master All-Training '!$A$2:$C$2474,2,false)</f>
        <v>#N/A</v>
      </c>
      <c r="G79" s="349" t="s">
        <v>20</v>
      </c>
      <c r="H79" s="350">
        <v>1.0</v>
      </c>
    </row>
    <row r="80" hidden="1">
      <c r="A80" s="272">
        <v>396.0</v>
      </c>
      <c r="B80" s="272">
        <v>396.0</v>
      </c>
      <c r="C80" s="353">
        <v>76.0</v>
      </c>
      <c r="D80" s="273" t="str">
        <f>IFERROR(__xludf.DUMMYFUNCTION("if(B80&lt;=999,if(B80&lt;=99,IF(B80&lt;=9,join(,""000"",B80),join(,""00"",B80)),join(,""0"",B80)),B80)"),"0396")</f>
        <v>0396</v>
      </c>
      <c r="E80" s="304" t="s">
        <v>214</v>
      </c>
      <c r="F80" s="303" t="str">
        <f>vlookup(B80,'Geotagging Master All-Training '!$A$2:$C$2474,2,false)</f>
        <v>#N/A</v>
      </c>
      <c r="G80" s="351" t="s">
        <v>20</v>
      </c>
      <c r="H80" s="352" t="e">
        <v>#N/A</v>
      </c>
    </row>
    <row r="81" hidden="1">
      <c r="A81" s="258">
        <v>1044.0</v>
      </c>
      <c r="B81" s="258">
        <v>1044.0</v>
      </c>
      <c r="C81" s="348">
        <v>77.0</v>
      </c>
      <c r="D81" s="260">
        <f>IFERROR(__xludf.DUMMYFUNCTION("if(B81&lt;=999,if(B81&lt;=99,IF(B81&lt;=9,join(,""000"",B81),join(,""00"",B81)),join(,""0"",B81)),B81)"),1044.0)</f>
        <v>1044</v>
      </c>
      <c r="E81" s="262" t="s">
        <v>215</v>
      </c>
      <c r="F81" s="263" t="str">
        <f>vlookup(B81,'Geotagging Master All-Training '!$A$2:$C$2474,2,false)</f>
        <v>#N/A</v>
      </c>
      <c r="G81" s="349" t="s">
        <v>20</v>
      </c>
      <c r="H81" s="350">
        <v>16.0</v>
      </c>
    </row>
    <row r="82" hidden="1">
      <c r="A82" s="258">
        <v>730.0</v>
      </c>
      <c r="B82" s="259">
        <v>730.0</v>
      </c>
      <c r="C82" s="348">
        <v>78.0</v>
      </c>
      <c r="D82" s="260" t="str">
        <f>IFERROR(__xludf.DUMMYFUNCTION("if(B82&lt;=999,if(B82&lt;=99,IF(B82&lt;=9,join(,""000"",B82),join(,""00"",B82)),join(,""0"",B82)),B82)"),"0730")</f>
        <v>0730</v>
      </c>
      <c r="E82" s="262" t="s">
        <v>218</v>
      </c>
      <c r="F82" s="263" t="str">
        <f>vlookup(B82,'Geotagging Master All-Training '!$A$2:$C$2474,2,false)</f>
        <v>#N/A</v>
      </c>
      <c r="G82" s="349" t="s">
        <v>20</v>
      </c>
      <c r="H82" s="350">
        <v>16.0</v>
      </c>
    </row>
    <row r="83">
      <c r="A83" s="272">
        <v>1237.0</v>
      </c>
      <c r="B83" s="272">
        <v>1237.0</v>
      </c>
      <c r="C83" s="353">
        <v>6.0</v>
      </c>
      <c r="D83" s="273">
        <v>1237.0</v>
      </c>
      <c r="E83" s="304" t="s">
        <v>219</v>
      </c>
      <c r="F83" s="303" t="s">
        <v>1403</v>
      </c>
      <c r="G83" s="351" t="s">
        <v>35</v>
      </c>
      <c r="H83" s="352" t="e">
        <v>#N/A</v>
      </c>
    </row>
    <row r="84" hidden="1">
      <c r="A84" s="272">
        <v>67.0</v>
      </c>
      <c r="B84" s="272">
        <v>67.0</v>
      </c>
      <c r="C84" s="348">
        <v>80.0</v>
      </c>
      <c r="D84" s="273" t="str">
        <f>IFERROR(__xludf.DUMMYFUNCTION("if(B84&lt;=999,if(B84&lt;=99,IF(B84&lt;=9,join(,""000"",B84),join(,""00"",B84)),join(,""0"",B84)),B84)"),"0067")</f>
        <v>0067</v>
      </c>
      <c r="E84" s="274" t="s">
        <v>220</v>
      </c>
      <c r="F84" s="263" t="str">
        <f>vlookup(B84,'Geotagging Master All-Training '!$A$2:$C$2474,2,false)</f>
        <v>#N/A</v>
      </c>
      <c r="G84" s="351" t="s">
        <v>20</v>
      </c>
      <c r="H84" s="352"/>
    </row>
    <row r="85" hidden="1">
      <c r="A85" s="272">
        <v>1039.0</v>
      </c>
      <c r="B85" s="272">
        <v>1039.0</v>
      </c>
      <c r="C85" s="353">
        <v>81.0</v>
      </c>
      <c r="D85" s="273">
        <f>IFERROR(__xludf.DUMMYFUNCTION("if(B85&lt;=999,if(B85&lt;=99,IF(B85&lt;=9,join(,""000"",B85),join(,""00"",B85)),join(,""0"",B85)),B85)"),1039.0)</f>
        <v>1039</v>
      </c>
      <c r="E85" s="304" t="s">
        <v>1160</v>
      </c>
      <c r="F85" s="303" t="str">
        <f>vlookup(B85,'Geotagging Master All-Training '!$A$2:$C$2474,2,false)</f>
        <v>#N/A</v>
      </c>
      <c r="G85" s="351" t="s">
        <v>20</v>
      </c>
      <c r="H85" s="352">
        <v>80.0</v>
      </c>
    </row>
    <row r="86" hidden="1">
      <c r="A86" s="258">
        <v>1152.0</v>
      </c>
      <c r="B86" s="310">
        <v>1152.0</v>
      </c>
      <c r="C86" s="348">
        <v>82.0</v>
      </c>
      <c r="D86" s="260">
        <f>IFERROR(__xludf.DUMMYFUNCTION("if(B86&lt;=999,if(B86&lt;=99,IF(B86&lt;=9,join(,""000"",B86),join(,""00"",B86)),join(,""0"",B86)),B86)"),1152.0)</f>
        <v>1152</v>
      </c>
      <c r="E86" s="270" t="s">
        <v>227</v>
      </c>
      <c r="F86" s="263" t="str">
        <f>vlookup(B86,'Geotagging Master All-Training '!$A$2:$C$2474,2,false)</f>
        <v>#N/A</v>
      </c>
      <c r="G86" s="349" t="s">
        <v>20</v>
      </c>
      <c r="H86" s="350">
        <v>8.0</v>
      </c>
    </row>
    <row r="87" hidden="1">
      <c r="A87" s="258">
        <v>1436.0</v>
      </c>
      <c r="B87" s="258">
        <v>1436.0</v>
      </c>
      <c r="C87" s="348">
        <v>83.0</v>
      </c>
      <c r="D87" s="260">
        <f>IFERROR(__xludf.DUMMYFUNCTION("if(B87&lt;=999,if(B87&lt;=99,IF(B87&lt;=9,join(,""000"",B87),join(,""00"",B87)),join(,""0"",B87)),B87)"),1436.0)</f>
        <v>1436</v>
      </c>
      <c r="E87" s="270" t="s">
        <v>229</v>
      </c>
      <c r="F87" s="263" t="str">
        <f>vlookup(B87,'Geotagging Master All-Training '!$A$2:$C$2474,2,false)</f>
        <v>#N/A</v>
      </c>
      <c r="G87" s="349" t="s">
        <v>20</v>
      </c>
      <c r="H87" s="350" t="e">
        <v>#N/A</v>
      </c>
    </row>
    <row r="88" hidden="1">
      <c r="A88" s="258">
        <v>348.0</v>
      </c>
      <c r="B88" s="259">
        <v>348.0</v>
      </c>
      <c r="C88" s="348">
        <v>84.0</v>
      </c>
      <c r="D88" s="260" t="str">
        <f>IFERROR(__xludf.DUMMYFUNCTION("if(B88&lt;=999,if(B88&lt;=99,IF(B88&lt;=9,join(,""000"",B88),join(,""00"",B88)),join(,""0"",B88)),B88)"),"0348")</f>
        <v>0348</v>
      </c>
      <c r="E88" s="262" t="s">
        <v>232</v>
      </c>
      <c r="F88" s="263" t="str">
        <f>vlookup(B88,'Geotagging Master All-Training '!$A$2:$C$2474,2,false)</f>
        <v>#N/A</v>
      </c>
      <c r="G88" s="349" t="s">
        <v>20</v>
      </c>
      <c r="H88" s="350">
        <v>808.0</v>
      </c>
    </row>
    <row r="89">
      <c r="A89" s="272">
        <v>1227.0</v>
      </c>
      <c r="B89" s="272">
        <v>1227.0</v>
      </c>
      <c r="C89" s="353">
        <v>7.0</v>
      </c>
      <c r="D89" s="273">
        <v>1227.0</v>
      </c>
      <c r="E89" s="304" t="s">
        <v>237</v>
      </c>
      <c r="F89" s="303" t="s">
        <v>1350</v>
      </c>
      <c r="G89" s="351" t="s">
        <v>35</v>
      </c>
      <c r="H89" s="352" t="e">
        <v>#N/A</v>
      </c>
    </row>
    <row r="90" hidden="1">
      <c r="A90" s="258">
        <v>1062.0</v>
      </c>
      <c r="B90" s="258">
        <v>1062.0</v>
      </c>
      <c r="C90" s="348">
        <v>86.0</v>
      </c>
      <c r="D90" s="260">
        <f>IFERROR(__xludf.DUMMYFUNCTION("if(B90&lt;=999,if(B90&lt;=99,IF(B90&lt;=9,join(,""000"",B90),join(,""00"",B90)),join(,""0"",B90)),B90)"),1062.0)</f>
        <v>1062</v>
      </c>
      <c r="E90" s="262" t="s">
        <v>238</v>
      </c>
      <c r="F90" s="263" t="str">
        <f>vlookup(B90,'Geotagging Master All-Training '!$A$2:$C$2474,2,false)</f>
        <v>#N/A</v>
      </c>
      <c r="G90" s="349" t="s">
        <v>20</v>
      </c>
      <c r="H90" s="350">
        <v>25002.0</v>
      </c>
    </row>
    <row r="91" hidden="1">
      <c r="A91" s="258">
        <v>1061.0</v>
      </c>
      <c r="B91" s="258">
        <v>1061.0</v>
      </c>
      <c r="C91" s="348">
        <v>87.0</v>
      </c>
      <c r="D91" s="260">
        <f>IFERROR(__xludf.DUMMYFUNCTION("if(B91&lt;=999,if(B91&lt;=99,IF(B91&lt;=9,join(,""000"",B91),join(,""00"",B91)),join(,""0"",B91)),B91)"),1061.0)</f>
        <v>1061</v>
      </c>
      <c r="E91" s="262" t="s">
        <v>242</v>
      </c>
      <c r="F91" s="263" t="str">
        <f>vlookup(B91,'Geotagging Master All-Training '!$A$2:$C$2474,2,false)</f>
        <v>#N/A</v>
      </c>
      <c r="G91" s="349" t="s">
        <v>20</v>
      </c>
      <c r="H91" s="350" t="s">
        <v>244</v>
      </c>
    </row>
    <row r="92" hidden="1">
      <c r="A92" s="258">
        <v>1214.0</v>
      </c>
      <c r="B92" s="258">
        <v>1214.0</v>
      </c>
      <c r="C92" s="348">
        <v>88.0</v>
      </c>
      <c r="D92" s="260">
        <f>IFERROR(__xludf.DUMMYFUNCTION("if(B92&lt;=999,if(B92&lt;=99,IF(B92&lt;=9,join(,""000"",B92),join(,""00"",B92)),join(,""0"",B92)),B92)"),1214.0)</f>
        <v>1214</v>
      </c>
      <c r="E92" s="262" t="s">
        <v>246</v>
      </c>
      <c r="F92" s="263" t="str">
        <f>vlookup(B92,'Geotagging Master All-Training '!$A$2:$C$2474,2,false)</f>
        <v>#N/A</v>
      </c>
      <c r="G92" s="349" t="s">
        <v>20</v>
      </c>
      <c r="H92" s="350">
        <v>85.0</v>
      </c>
    </row>
    <row r="93" hidden="1">
      <c r="A93" s="258">
        <v>1365.0</v>
      </c>
      <c r="B93" s="258">
        <v>1365.0</v>
      </c>
      <c r="C93" s="348">
        <v>89.0</v>
      </c>
      <c r="D93" s="260">
        <f>IFERROR(__xludf.DUMMYFUNCTION("if(B93&lt;=999,if(B93&lt;=99,IF(B93&lt;=9,join(,""000"",B93),join(,""00"",B93)),join(,""0"",B93)),B93)"),1365.0)</f>
        <v>1365</v>
      </c>
      <c r="E93" s="262" t="s">
        <v>249</v>
      </c>
      <c r="F93" s="263" t="str">
        <f>vlookup(B93,'Geotagging Master All-Training '!$A$2:$C$2474,2,false)</f>
        <v>#N/A</v>
      </c>
      <c r="G93" s="349" t="s">
        <v>20</v>
      </c>
      <c r="H93" s="350">
        <v>4.0</v>
      </c>
    </row>
    <row r="94" hidden="1">
      <c r="A94" s="258">
        <v>212.0</v>
      </c>
      <c r="B94" s="259">
        <v>212.0</v>
      </c>
      <c r="C94" s="348">
        <v>90.0</v>
      </c>
      <c r="D94" s="260" t="str">
        <f>IFERROR(__xludf.DUMMYFUNCTION("if(B94&lt;=999,if(B94&lt;=99,IF(B94&lt;=9,join(,""000"",B94),join(,""00"",B94)),join(,""0"",B94)),B94)"),"0212")</f>
        <v>0212</v>
      </c>
      <c r="E94" s="270" t="s">
        <v>252</v>
      </c>
      <c r="F94" s="263" t="str">
        <f>vlookup(B94,'Geotagging Master All-Training '!$A$2:$C$2474,2,false)</f>
        <v>#N/A</v>
      </c>
      <c r="G94" s="349" t="s">
        <v>20</v>
      </c>
      <c r="H94" s="350">
        <v>16.0</v>
      </c>
    </row>
    <row r="95" hidden="1">
      <c r="A95" s="258">
        <v>813.0</v>
      </c>
      <c r="B95" s="259">
        <v>813.0</v>
      </c>
      <c r="C95" s="348">
        <v>91.0</v>
      </c>
      <c r="D95" s="260" t="str">
        <f>IFERROR(__xludf.DUMMYFUNCTION("if(B95&lt;=999,if(B95&lt;=99,IF(B95&lt;=9,join(,""000"",B95),join(,""00"",B95)),join(,""0"",B95)),B95)"),"0813")</f>
        <v>0813</v>
      </c>
      <c r="E95" s="262" t="s">
        <v>253</v>
      </c>
      <c r="F95" s="263" t="str">
        <f>vlookup(B95,'Geotagging Master All-Training '!$A$2:$C$2474,2,false)</f>
        <v>#N/A</v>
      </c>
      <c r="G95" s="349" t="s">
        <v>20</v>
      </c>
      <c r="H95" s="350"/>
    </row>
    <row r="96" hidden="1">
      <c r="A96" s="258">
        <v>64.0</v>
      </c>
      <c r="B96" s="259">
        <v>64.0</v>
      </c>
      <c r="C96" s="348">
        <v>92.0</v>
      </c>
      <c r="D96" s="260" t="str">
        <f>IFERROR(__xludf.DUMMYFUNCTION("if(B96&lt;=999,if(B96&lt;=99,IF(B96&lt;=9,join(,""000"",B96),join(,""00"",B96)),join(,""0"",B96)),B96)"),"0064")</f>
        <v>0064</v>
      </c>
      <c r="E96" s="270" t="s">
        <v>257</v>
      </c>
      <c r="F96" s="263" t="str">
        <f>vlookup(B96,'Geotagging Master All-Training '!$A$2:$C$2474,2,false)</f>
        <v>#N/A</v>
      </c>
      <c r="G96" s="349" t="s">
        <v>20</v>
      </c>
      <c r="H96" s="350" t="e">
        <v>#N/A</v>
      </c>
    </row>
    <row r="97" hidden="1">
      <c r="A97" s="258">
        <v>14.0</v>
      </c>
      <c r="B97" s="259">
        <v>14.0</v>
      </c>
      <c r="C97" s="348">
        <v>93.0</v>
      </c>
      <c r="D97" s="260" t="str">
        <f>IFERROR(__xludf.DUMMYFUNCTION("if(B97&lt;=999,if(B97&lt;=99,IF(B97&lt;=9,join(,""000"",B97),join(,""00"",B97)),join(,""0"",B97)),B97)"),"0014")</f>
        <v>0014</v>
      </c>
      <c r="E97" s="262" t="s">
        <v>259</v>
      </c>
      <c r="F97" s="263" t="str">
        <f>vlookup(B97,'Geotagging Master All-Training '!$A$2:$C$2474,2,false)</f>
        <v>#N/A</v>
      </c>
      <c r="G97" s="349" t="s">
        <v>20</v>
      </c>
      <c r="H97" s="350">
        <v>8000.0</v>
      </c>
    </row>
    <row r="98" hidden="1">
      <c r="A98" s="258">
        <v>1447.0</v>
      </c>
      <c r="B98" s="258">
        <v>1447.0</v>
      </c>
      <c r="C98" s="348">
        <v>94.0</v>
      </c>
      <c r="D98" s="260">
        <f>IFERROR(__xludf.DUMMYFUNCTION("if(B98&lt;=999,if(B98&lt;=99,IF(B98&lt;=9,join(,""000"",B98),join(,""00"",B98)),join(,""0"",B98)),B98)"),1447.0)</f>
        <v>1447</v>
      </c>
      <c r="E98" s="270" t="s">
        <v>262</v>
      </c>
      <c r="F98" s="263" t="str">
        <f>vlookup(B98,'Geotagging Master All-Training '!$A$2:$C$2474,2,false)</f>
        <v>#N/A</v>
      </c>
      <c r="G98" s="349" t="s">
        <v>20</v>
      </c>
      <c r="H98" s="350" t="s">
        <v>264</v>
      </c>
    </row>
    <row r="99" hidden="1">
      <c r="A99" s="258">
        <v>539.0</v>
      </c>
      <c r="B99" s="258">
        <v>539.0</v>
      </c>
      <c r="C99" s="348">
        <v>95.0</v>
      </c>
      <c r="D99" s="260" t="str">
        <f>IFERROR(__xludf.DUMMYFUNCTION("if(B99&lt;=999,if(B99&lt;=99,IF(B99&lt;=9,join(,""000"",B99),join(,""00"",B99)),join(,""0"",B99)),B99)"),"0539")</f>
        <v>0539</v>
      </c>
      <c r="E99" s="270" t="s">
        <v>184</v>
      </c>
      <c r="F99" s="263" t="str">
        <f>vlookup(B99,'Geotagging Master All-Training '!$A$2:$C$2474,2,false)</f>
        <v>#N/A</v>
      </c>
      <c r="G99" s="349" t="s">
        <v>20</v>
      </c>
      <c r="H99" s="350">
        <v>80.0</v>
      </c>
    </row>
    <row r="100" hidden="1">
      <c r="A100" s="258">
        <v>1282.0</v>
      </c>
      <c r="B100" s="258">
        <v>1282.0</v>
      </c>
      <c r="C100" s="348">
        <v>96.0</v>
      </c>
      <c r="D100" s="260">
        <f>IFERROR(__xludf.DUMMYFUNCTION("if(B100&lt;=999,if(B100&lt;=99,IF(B100&lt;=9,join(,""000"",B100),join(,""00"",B100)),join(,""0"",B100)),B100)"),1282.0)</f>
        <v>1282</v>
      </c>
      <c r="E100" s="270" t="s">
        <v>552</v>
      </c>
      <c r="F100" s="263" t="str">
        <f>vlookup(B100,'Geotagging Master All-Training '!$A$2:$C$2474,2,false)</f>
        <v>#N/A</v>
      </c>
      <c r="G100" s="349" t="s">
        <v>20</v>
      </c>
      <c r="H100" s="350">
        <v>80.0</v>
      </c>
    </row>
    <row r="101" hidden="1">
      <c r="A101" s="258">
        <v>150.0</v>
      </c>
      <c r="B101" s="259">
        <v>150.0</v>
      </c>
      <c r="C101" s="348">
        <v>97.0</v>
      </c>
      <c r="D101" s="260" t="str">
        <f>IFERROR(__xludf.DUMMYFUNCTION("if(B101&lt;=999,if(B101&lt;=99,IF(B101&lt;=9,join(,""000"",B101),join(,""00"",B101)),join(,""0"",B101)),B101)"),"0150")</f>
        <v>0150</v>
      </c>
      <c r="E101" s="262" t="s">
        <v>268</v>
      </c>
      <c r="F101" s="263" t="str">
        <f>vlookup(B101,'Geotagging Master All-Training '!$A$2:$C$2474,2,false)</f>
        <v>#N/A</v>
      </c>
      <c r="G101" s="349" t="s">
        <v>20</v>
      </c>
      <c r="H101" s="357" t="str">
        <f>vlookup(A101,#REF!,11,false)</f>
        <v>#REF!</v>
      </c>
    </row>
    <row r="102" hidden="1">
      <c r="A102" s="258">
        <v>43.0</v>
      </c>
      <c r="B102" s="258">
        <v>43.0</v>
      </c>
      <c r="C102" s="348">
        <v>98.0</v>
      </c>
      <c r="D102" s="260" t="str">
        <f>IFERROR(__xludf.DUMMYFUNCTION("if(B102&lt;=999,if(B102&lt;=99,IF(B102&lt;=9,join(,""000"",B102),join(,""00"",B102)),join(,""0"",B102)),B102)"),"0043")</f>
        <v>0043</v>
      </c>
      <c r="E102" s="262" t="s">
        <v>269</v>
      </c>
      <c r="F102" s="263" t="str">
        <f>vlookup(B102,'Geotagging Master All-Training '!$A$2:$C$2474,2,false)</f>
        <v>#N/A</v>
      </c>
      <c r="G102" s="349" t="s">
        <v>20</v>
      </c>
      <c r="H102" s="350" t="e">
        <v>#N/A</v>
      </c>
    </row>
    <row r="103" hidden="1">
      <c r="A103" s="258">
        <v>1354.0</v>
      </c>
      <c r="B103" s="259">
        <v>1354.0</v>
      </c>
      <c r="C103" s="348">
        <v>99.0</v>
      </c>
      <c r="D103" s="260">
        <f>IFERROR(__xludf.DUMMYFUNCTION("if(B103&lt;=999,if(B103&lt;=99,IF(B103&lt;=9,join(,""000"",B103),join(,""00"",B103)),join(,""0"",B103)),B103)"),1354.0)</f>
        <v>1354</v>
      </c>
      <c r="E103" s="270" t="s">
        <v>273</v>
      </c>
      <c r="F103" s="263" t="str">
        <f>vlookup(B103,'Geotagging Master All-Training '!$A$2:$C$2474,2,false)</f>
        <v>#N/A</v>
      </c>
      <c r="G103" s="349" t="s">
        <v>20</v>
      </c>
      <c r="H103" s="350">
        <v>32.0</v>
      </c>
    </row>
    <row r="104" hidden="1">
      <c r="A104" s="258">
        <v>1135.0</v>
      </c>
      <c r="B104" s="259">
        <v>1135.0</v>
      </c>
      <c r="C104" s="348">
        <v>100.0</v>
      </c>
      <c r="D104" s="260">
        <f>IFERROR(__xludf.DUMMYFUNCTION("if(B104&lt;=999,if(B104&lt;=99,IF(B104&lt;=9,join(,""000"",B104),join(,""00"",B104)),join(,""0"",B104)),B104)"),1135.0)</f>
        <v>1135</v>
      </c>
      <c r="E104" s="270" t="s">
        <v>274</v>
      </c>
      <c r="F104" s="263" t="str">
        <f>vlookup(B104,'Geotagging Master All-Training '!$A$2:$C$2474,2,false)</f>
        <v>#N/A</v>
      </c>
      <c r="G104" s="349" t="s">
        <v>20</v>
      </c>
      <c r="H104" s="350" t="s">
        <v>275</v>
      </c>
    </row>
    <row r="105" hidden="1">
      <c r="A105" s="258">
        <v>1113.0</v>
      </c>
      <c r="B105" s="258">
        <v>1113.0</v>
      </c>
      <c r="C105" s="348">
        <v>101.0</v>
      </c>
      <c r="D105" s="260">
        <f>IFERROR(__xludf.DUMMYFUNCTION("if(B105&lt;=999,if(B105&lt;=99,IF(B105&lt;=9,join(,""000"",B105),join(,""00"",B105)),join(,""0"",B105)),B105)"),1113.0)</f>
        <v>1113</v>
      </c>
      <c r="E105" s="270" t="s">
        <v>276</v>
      </c>
      <c r="F105" s="263" t="str">
        <f>vlookup(B105,'Geotagging Master All-Training '!$A$2:$C$2474,2,false)</f>
        <v>#N/A</v>
      </c>
      <c r="G105" s="349" t="s">
        <v>20</v>
      </c>
      <c r="H105" s="350" t="s">
        <v>275</v>
      </c>
    </row>
    <row r="106" hidden="1">
      <c r="A106" s="258">
        <v>1373.0</v>
      </c>
      <c r="B106" s="258">
        <v>1373.0</v>
      </c>
      <c r="C106" s="348">
        <v>102.0</v>
      </c>
      <c r="D106" s="260">
        <f>IFERROR(__xludf.DUMMYFUNCTION("if(B106&lt;=999,if(B106&lt;=99,IF(B106&lt;=9,join(,""000"",B106),join(,""00"",B106)),join(,""0"",B106)),B106)"),1373.0)</f>
        <v>1373</v>
      </c>
      <c r="E106" s="262" t="s">
        <v>277</v>
      </c>
      <c r="F106" s="263" t="str">
        <f>vlookup(B106,'Geotagging Master All-Training '!$A$2:$C$2474,2,false)</f>
        <v>#N/A</v>
      </c>
      <c r="G106" s="349" t="s">
        <v>20</v>
      </c>
      <c r="H106" s="350" t="e">
        <v>#N/A</v>
      </c>
    </row>
    <row r="107" hidden="1">
      <c r="A107" s="258">
        <v>1151.0</v>
      </c>
      <c r="B107" s="258">
        <v>1151.0</v>
      </c>
      <c r="C107" s="348">
        <v>103.0</v>
      </c>
      <c r="D107" s="260">
        <f>IFERROR(__xludf.DUMMYFUNCTION("if(B107&lt;=999,if(B107&lt;=99,IF(B107&lt;=9,join(,""000"",B107),join(,""00"",B107)),join(,""0"",B107)),B107)"),1151.0)</f>
        <v>1151</v>
      </c>
      <c r="E107" s="262" t="s">
        <v>281</v>
      </c>
      <c r="F107" s="263" t="str">
        <f>vlookup(B107,'Geotagging Master All-Training '!$A$2:$C$2474,2,false)</f>
        <v>#N/A</v>
      </c>
      <c r="G107" s="349" t="s">
        <v>20</v>
      </c>
      <c r="H107" s="350">
        <v>8004.0</v>
      </c>
    </row>
    <row r="108" hidden="1">
      <c r="A108" s="272">
        <v>1423.0</v>
      </c>
      <c r="B108" s="272">
        <v>1423.0</v>
      </c>
      <c r="C108" s="348">
        <v>104.0</v>
      </c>
      <c r="D108" s="273">
        <f>IFERROR(__xludf.DUMMYFUNCTION("if(B108&lt;=999,if(B108&lt;=99,IF(B108&lt;=9,join(,""000"",B108),join(,""00"",B108)),join(,""0"",B108)),B108)"),1423.0)</f>
        <v>1423</v>
      </c>
      <c r="E108" s="304" t="s">
        <v>282</v>
      </c>
      <c r="F108" s="263" t="str">
        <f>vlookup(B108,'Geotagging Master All-Training '!$A$2:$C$2474,2,false)</f>
        <v>#N/A</v>
      </c>
      <c r="G108" s="351" t="s">
        <v>20</v>
      </c>
      <c r="H108" s="352"/>
    </row>
    <row r="109" hidden="1">
      <c r="A109" s="258">
        <v>82.0</v>
      </c>
      <c r="B109" s="259">
        <v>82.0</v>
      </c>
      <c r="C109" s="348">
        <v>105.0</v>
      </c>
      <c r="D109" s="260" t="str">
        <f>IFERROR(__xludf.DUMMYFUNCTION("if(B109&lt;=999,if(B109&lt;=99,IF(B109&lt;=9,join(,""000"",B109),join(,""00"",B109)),join(,""0"",B109)),B109)"),"0082")</f>
        <v>0082</v>
      </c>
      <c r="E109" s="270" t="s">
        <v>284</v>
      </c>
      <c r="F109" s="263" t="str">
        <f>vlookup(B109,'Geotagging Master All-Training '!$A$2:$C$2474,2,false)</f>
        <v>#N/A</v>
      </c>
      <c r="G109" s="349" t="s">
        <v>20</v>
      </c>
      <c r="H109" s="350"/>
    </row>
    <row r="110" hidden="1">
      <c r="A110" s="272">
        <v>1241.0</v>
      </c>
      <c r="B110" s="272">
        <v>1241.0</v>
      </c>
      <c r="C110" s="348">
        <v>106.0</v>
      </c>
      <c r="D110" s="273">
        <f>IFERROR(__xludf.DUMMYFUNCTION("if(B110&lt;=999,if(B110&lt;=99,IF(B110&lt;=9,join(,""000"",B110),join(,""00"",B110)),join(,""0"",B110)),B110)"),1241.0)</f>
        <v>1241</v>
      </c>
      <c r="E110" s="274" t="s">
        <v>285</v>
      </c>
      <c r="F110" s="263" t="str">
        <f>vlookup(B110,'Geotagging Master All-Training '!$A$2:$C$2474,2,false)</f>
        <v>#N/A</v>
      </c>
      <c r="G110" s="351" t="s">
        <v>20</v>
      </c>
      <c r="H110" s="352"/>
    </row>
    <row r="111" hidden="1">
      <c r="A111" s="272">
        <v>1072.0</v>
      </c>
      <c r="B111" s="272">
        <v>1072.0</v>
      </c>
      <c r="C111" s="348">
        <v>107.0</v>
      </c>
      <c r="D111" s="273">
        <f>IFERROR(__xludf.DUMMYFUNCTION("if(B111&lt;=999,if(B111&lt;=99,IF(B111&lt;=9,join(,""000"",B111),join(,""00"",B111)),join(,""0"",B111)),B111)"),1072.0)</f>
        <v>1072</v>
      </c>
      <c r="E111" s="274" t="s">
        <v>290</v>
      </c>
      <c r="F111" s="263" t="str">
        <f>vlookup(B111,'Geotagging Master All-Training '!$A$2:$C$2474,2,false)</f>
        <v>#N/A</v>
      </c>
      <c r="G111" s="351" t="s">
        <v>20</v>
      </c>
      <c r="H111" s="352"/>
    </row>
    <row r="112" hidden="1">
      <c r="A112" s="272">
        <v>424.0</v>
      </c>
      <c r="B112" s="272">
        <v>424.0</v>
      </c>
      <c r="C112" s="348">
        <v>108.0</v>
      </c>
      <c r="D112" s="273" t="str">
        <f>IFERROR(__xludf.DUMMYFUNCTION("if(B112&lt;=999,if(B112&lt;=99,IF(B112&lt;=9,join(,""000"",B112),join(,""00"",B112)),join(,""0"",B112)),B112)"),"0424")</f>
        <v>0424</v>
      </c>
      <c r="E112" s="274" t="s">
        <v>293</v>
      </c>
      <c r="F112" s="263" t="str">
        <f>vlookup(B112,'Geotagging Master All-Training '!$A$2:$C$2474,2,false)</f>
        <v>#N/A</v>
      </c>
      <c r="G112" s="351" t="s">
        <v>20</v>
      </c>
      <c r="H112" s="352" t="s">
        <v>287</v>
      </c>
    </row>
    <row r="113" hidden="1">
      <c r="A113" s="258">
        <v>1103.0</v>
      </c>
      <c r="B113" s="258">
        <v>1103.0</v>
      </c>
      <c r="C113" s="348">
        <v>109.0</v>
      </c>
      <c r="D113" s="260">
        <f>IFERROR(__xludf.DUMMYFUNCTION("if(B113&lt;=999,if(B113&lt;=99,IF(B113&lt;=9,join(,""000"",B113),join(,""00"",B113)),join(,""0"",B113)),B113)"),1103.0)</f>
        <v>1103</v>
      </c>
      <c r="E113" s="270" t="s">
        <v>297</v>
      </c>
      <c r="F113" s="263" t="str">
        <f>vlookup(B113,'Geotagging Master All-Training '!$A$2:$C$2474,2,false)</f>
        <v>#N/A</v>
      </c>
      <c r="G113" s="349" t="s">
        <v>20</v>
      </c>
      <c r="H113" s="358" t="e">
        <v>#N/A</v>
      </c>
    </row>
    <row r="114" hidden="1">
      <c r="A114" s="258">
        <v>533.0</v>
      </c>
      <c r="B114" s="258">
        <v>533.0</v>
      </c>
      <c r="C114" s="348">
        <v>110.0</v>
      </c>
      <c r="D114" s="260" t="str">
        <f>IFERROR(__xludf.DUMMYFUNCTION("if(B114&lt;=999,if(B114&lt;=99,IF(B114&lt;=9,join(,""000"",B114),join(,""00"",B114)),join(,""0"",B114)),B114)"),"0533")</f>
        <v>0533</v>
      </c>
      <c r="E114" s="270" t="s">
        <v>300</v>
      </c>
      <c r="F114" s="263" t="str">
        <f>vlookup(B114,'Geotagging Master All-Training '!$A$2:$C$2474,2,false)</f>
        <v>#N/A</v>
      </c>
      <c r="G114" s="349" t="s">
        <v>20</v>
      </c>
      <c r="H114" s="350" t="e">
        <v>#N/A</v>
      </c>
    </row>
    <row r="115">
      <c r="A115" s="272">
        <v>233.0</v>
      </c>
      <c r="B115" s="272">
        <v>233.0</v>
      </c>
      <c r="C115" s="353">
        <v>8.0</v>
      </c>
      <c r="D115" s="273" t="s">
        <v>1349</v>
      </c>
      <c r="E115" s="304" t="s">
        <v>224</v>
      </c>
      <c r="F115" s="303" t="s">
        <v>1350</v>
      </c>
      <c r="G115" s="351" t="s">
        <v>35</v>
      </c>
      <c r="H115" s="352" t="s">
        <v>225</v>
      </c>
    </row>
    <row r="116" hidden="1">
      <c r="A116" s="258">
        <v>242.0</v>
      </c>
      <c r="B116" s="258">
        <v>242.0</v>
      </c>
      <c r="C116" s="348">
        <v>112.0</v>
      </c>
      <c r="D116" s="260" t="str">
        <f>IFERROR(__xludf.DUMMYFUNCTION("if(B116&lt;=999,if(B116&lt;=99,IF(B116&lt;=9,join(,""000"",B116),join(,""00"",B116)),join(,""0"",B116)),B116)"),"0242")</f>
        <v>0242</v>
      </c>
      <c r="E116" s="270" t="s">
        <v>303</v>
      </c>
      <c r="F116" s="263" t="str">
        <f>vlookup(B116,'Geotagging Master All-Training '!$A$2:$C$2474,2,false)</f>
        <v>#N/A</v>
      </c>
      <c r="G116" s="349" t="s">
        <v>20</v>
      </c>
      <c r="H116" s="350">
        <v>8.0</v>
      </c>
    </row>
    <row r="117" hidden="1">
      <c r="A117" s="258">
        <v>249.0</v>
      </c>
      <c r="B117" s="258">
        <v>249.0</v>
      </c>
      <c r="C117" s="348">
        <v>113.0</v>
      </c>
      <c r="D117" s="260" t="str">
        <f>IFERROR(__xludf.DUMMYFUNCTION("if(B117&lt;=999,if(B117&lt;=99,IF(B117&lt;=9,join(,""000"",B117),join(,""00"",B117)),join(,""0"",B117)),B117)"),"0249")</f>
        <v>0249</v>
      </c>
      <c r="E117" s="270" t="s">
        <v>304</v>
      </c>
      <c r="F117" s="263" t="str">
        <f>vlookup(B117,'Geotagging Master All-Training '!$A$2:$C$2474,2,false)</f>
        <v>#N/A</v>
      </c>
      <c r="G117" s="349" t="s">
        <v>20</v>
      </c>
      <c r="H117" s="350"/>
    </row>
    <row r="118" hidden="1">
      <c r="A118" s="272">
        <v>1369.0</v>
      </c>
      <c r="B118" s="272">
        <v>1369.0</v>
      </c>
      <c r="C118" s="353">
        <v>122.0</v>
      </c>
      <c r="D118" s="273">
        <f>IFERROR(__xludf.DUMMYFUNCTION("if(B118&lt;=999,if(B118&lt;=99,IF(B118&lt;=9,join(,""000"",B118),join(,""00"",B118)),join(,""0"",B118)),B118)"),1369.0)</f>
        <v>1369</v>
      </c>
      <c r="E118" s="304" t="s">
        <v>305</v>
      </c>
      <c r="F118" s="303" t="str">
        <f>vlookup(B118,'Geotagging Master All-Training '!$A$2:$C$2474,2,false)</f>
        <v>#N/A</v>
      </c>
      <c r="G118" s="351" t="s">
        <v>20</v>
      </c>
      <c r="H118" s="352">
        <v>4.250593433136E12</v>
      </c>
    </row>
    <row r="119" hidden="1">
      <c r="A119" s="258">
        <v>1182.0</v>
      </c>
      <c r="B119" s="258">
        <v>1182.0</v>
      </c>
      <c r="C119" s="348">
        <v>115.0</v>
      </c>
      <c r="D119" s="260">
        <f>IFERROR(__xludf.DUMMYFUNCTION("if(B119&lt;=999,if(B119&lt;=99,IF(B119&lt;=9,join(,""000"",B119),join(,""00"",B119)),join(,""0"",B119)),B119)"),1182.0)</f>
        <v>1182</v>
      </c>
      <c r="E119" s="270" t="s">
        <v>306</v>
      </c>
      <c r="F119" s="263" t="str">
        <f>vlookup(B119,'Geotagging Master All-Training '!$A$2:$C$2474,2,false)</f>
        <v>#N/A</v>
      </c>
      <c r="G119" s="349" t="s">
        <v>20</v>
      </c>
      <c r="H119" s="350">
        <v>80.0</v>
      </c>
    </row>
    <row r="120" hidden="1">
      <c r="A120" s="258">
        <v>224.0</v>
      </c>
      <c r="B120" s="258">
        <v>224.0</v>
      </c>
      <c r="C120" s="348">
        <v>116.0</v>
      </c>
      <c r="D120" s="260" t="str">
        <f>IFERROR(__xludf.DUMMYFUNCTION("if(B120&lt;=999,if(B120&lt;=99,IF(B120&lt;=9,join(,""000"",B120),join(,""00"",B120)),join(,""0"",B120)),B120)"),"0224")</f>
        <v>0224</v>
      </c>
      <c r="E120" s="262" t="s">
        <v>307</v>
      </c>
      <c r="F120" s="263" t="str">
        <f>vlookup(B120,'Geotagging Master All-Training '!$A$2:$C$2474,2,false)</f>
        <v>#N/A</v>
      </c>
      <c r="G120" s="349" t="s">
        <v>20</v>
      </c>
      <c r="H120" s="350">
        <v>80.0</v>
      </c>
    </row>
    <row r="121" hidden="1">
      <c r="A121" s="258">
        <v>1405.0</v>
      </c>
      <c r="B121" s="258">
        <v>1405.0</v>
      </c>
      <c r="C121" s="348">
        <v>117.0</v>
      </c>
      <c r="D121" s="260">
        <f>IFERROR(__xludf.DUMMYFUNCTION("if(B121&lt;=999,if(B121&lt;=99,IF(B121&lt;=9,join(,""000"",B121),join(,""00"",B121)),join(,""0"",B121)),B121)"),1405.0)</f>
        <v>1405</v>
      </c>
      <c r="E121" s="262" t="s">
        <v>310</v>
      </c>
      <c r="F121" s="263" t="str">
        <f>vlookup(B121,'Geotagging Master All-Training '!$A$2:$C$2474,2,false)</f>
        <v>#N/A</v>
      </c>
      <c r="G121" s="349" t="s">
        <v>20</v>
      </c>
      <c r="H121" s="350" t="e">
        <v>#N/A</v>
      </c>
    </row>
    <row r="122" hidden="1">
      <c r="A122" s="258">
        <v>1049.0</v>
      </c>
      <c r="B122" s="258">
        <v>1049.0</v>
      </c>
      <c r="C122" s="348">
        <v>118.0</v>
      </c>
      <c r="D122" s="260">
        <f>IFERROR(__xludf.DUMMYFUNCTION("if(B122&lt;=999,if(B122&lt;=99,IF(B122&lt;=9,join(,""000"",B122),join(,""00"",B122)),join(,""0"",B122)),B122)"),1049.0)</f>
        <v>1049</v>
      </c>
      <c r="E122" s="262" t="s">
        <v>312</v>
      </c>
      <c r="F122" s="263" t="str">
        <f>vlookup(B122,'Geotagging Master All-Training '!$A$2:$C$2474,2,false)</f>
        <v>#N/A</v>
      </c>
      <c r="G122" s="349" t="s">
        <v>20</v>
      </c>
      <c r="H122" s="350">
        <v>25001.0</v>
      </c>
    </row>
    <row r="123" hidden="1">
      <c r="A123" s="258">
        <v>1142.0</v>
      </c>
      <c r="B123" s="258">
        <v>1142.0</v>
      </c>
      <c r="C123" s="348">
        <v>119.0</v>
      </c>
      <c r="D123" s="260">
        <f>IFERROR(__xludf.DUMMYFUNCTION("if(B123&lt;=999,if(B123&lt;=99,IF(B123&lt;=9,join(,""000"",B123),join(,""00"",B123)),join(,""0"",B123)),B123)"),1142.0)</f>
        <v>1142</v>
      </c>
      <c r="E123" s="270" t="s">
        <v>315</v>
      </c>
      <c r="F123" s="263" t="str">
        <f>vlookup(B123,'Geotagging Master All-Training '!$A$2:$C$2474,2,false)</f>
        <v>#N/A</v>
      </c>
      <c r="G123" s="349" t="s">
        <v>20</v>
      </c>
      <c r="H123" s="350">
        <v>25001.0</v>
      </c>
    </row>
    <row r="124" hidden="1">
      <c r="A124" s="258">
        <v>1416.0</v>
      </c>
      <c r="B124" s="259">
        <v>1416.0</v>
      </c>
      <c r="C124" s="348">
        <v>120.0</v>
      </c>
      <c r="D124" s="260">
        <f>IFERROR(__xludf.DUMMYFUNCTION("if(B124&lt;=999,if(B124&lt;=99,IF(B124&lt;=9,join(,""000"",B124),join(,""00"",B124)),join(,""0"",B124)),B124)"),1416.0)</f>
        <v>1416</v>
      </c>
      <c r="E124" s="270" t="s">
        <v>318</v>
      </c>
      <c r="F124" s="263" t="str">
        <f>vlookup(B124,'Geotagging Master All-Training '!$A$2:$C$2474,2,false)</f>
        <v>#N/A</v>
      </c>
      <c r="G124" s="349" t="s">
        <v>20</v>
      </c>
      <c r="H124" s="350" t="e">
        <v>#N/A</v>
      </c>
    </row>
    <row r="125" hidden="1">
      <c r="A125" s="258">
        <v>1345.0</v>
      </c>
      <c r="B125" s="258">
        <v>1345.0</v>
      </c>
      <c r="C125" s="348">
        <v>121.0</v>
      </c>
      <c r="D125" s="260">
        <f>IFERROR(__xludf.DUMMYFUNCTION("if(B125&lt;=999,if(B125&lt;=99,IF(B125&lt;=9,join(,""000"",B125),join(,""00"",B125)),join(,""0"",B125)),B125)"),1345.0)</f>
        <v>1345</v>
      </c>
      <c r="E125" s="262" t="s">
        <v>319</v>
      </c>
      <c r="F125" s="263" t="str">
        <f>vlookup(B125,'Geotagging Master All-Training '!$A$2:$C$2474,2,false)</f>
        <v>#N/A</v>
      </c>
      <c r="G125" s="349" t="s">
        <v>20</v>
      </c>
      <c r="H125" s="350">
        <v>32.0</v>
      </c>
    </row>
    <row r="126" hidden="1">
      <c r="A126" s="272">
        <v>1204.0</v>
      </c>
      <c r="B126" s="272">
        <v>1204.0</v>
      </c>
      <c r="C126" s="353">
        <v>123.0</v>
      </c>
      <c r="D126" s="273">
        <f>IFERROR(__xludf.DUMMYFUNCTION("if(B126&lt;=999,if(B126&lt;=99,IF(B126&lt;=9,join(,""000"",B126),join(,""00"",B126)),join(,""0"",B126)),B126)"),1204.0)</f>
        <v>1204</v>
      </c>
      <c r="E126" s="313" t="s">
        <v>322</v>
      </c>
      <c r="F126" s="303" t="s">
        <v>1336</v>
      </c>
      <c r="G126" s="351" t="s">
        <v>20</v>
      </c>
      <c r="H126" s="352" t="e">
        <v>#N/A</v>
      </c>
    </row>
    <row r="127">
      <c r="A127" s="272">
        <v>461.0</v>
      </c>
      <c r="B127" s="272">
        <v>461.0</v>
      </c>
      <c r="C127" s="353">
        <v>9.0</v>
      </c>
      <c r="D127" s="273" t="s">
        <v>1352</v>
      </c>
      <c r="E127" s="304" t="s">
        <v>351</v>
      </c>
      <c r="F127" s="303" t="s">
        <v>1353</v>
      </c>
      <c r="G127" s="351" t="s">
        <v>35</v>
      </c>
      <c r="H127" s="352" t="e">
        <v>#N/A</v>
      </c>
    </row>
    <row r="128" hidden="1">
      <c r="A128" s="258">
        <v>51.0</v>
      </c>
      <c r="B128" s="259">
        <v>51.0</v>
      </c>
      <c r="C128" s="348">
        <v>124.0</v>
      </c>
      <c r="D128" s="260" t="str">
        <f>IFERROR(__xludf.DUMMYFUNCTION("if(B128&lt;=999,if(B128&lt;=99,IF(B128&lt;=9,join(,""000"",B128),join(,""00"",B128)),join(,""0"",B128)),B128)"),"0051")</f>
        <v>0051</v>
      </c>
      <c r="E128" s="270" t="s">
        <v>67</v>
      </c>
      <c r="F128" s="263" t="str">
        <f>vlookup(B128,'Geotagging Master All-Training '!$A$2:$C$2474,2,false)</f>
        <v>#N/A</v>
      </c>
      <c r="G128" s="349" t="s">
        <v>20</v>
      </c>
      <c r="H128" s="350" t="e">
        <v>#N/A</v>
      </c>
    </row>
    <row r="129" hidden="1">
      <c r="A129" s="258">
        <v>367.0</v>
      </c>
      <c r="B129" s="258">
        <v>367.0</v>
      </c>
      <c r="C129" s="348">
        <v>125.0</v>
      </c>
      <c r="D129" s="260" t="str">
        <f>IFERROR(__xludf.DUMMYFUNCTION("if(B129&lt;=999,if(B129&lt;=99,IF(B129&lt;=9,join(,""000"",B129),join(,""00"",B129)),join(,""0"",B129)),B129)"),"0367")</f>
        <v>0367</v>
      </c>
      <c r="E129" s="262" t="s">
        <v>324</v>
      </c>
      <c r="F129" s="263" t="str">
        <f>vlookup(B129,'Geotagging Master All-Training '!$A$2:$C$2474,2,false)</f>
        <v>#N/A</v>
      </c>
      <c r="G129" s="349" t="s">
        <v>20</v>
      </c>
      <c r="H129" s="350" t="s">
        <v>326</v>
      </c>
    </row>
    <row r="130" hidden="1">
      <c r="A130" s="258">
        <v>1032.0</v>
      </c>
      <c r="B130" s="258">
        <v>1032.0</v>
      </c>
      <c r="C130" s="348">
        <v>126.0</v>
      </c>
      <c r="D130" s="260">
        <f>IFERROR(__xludf.DUMMYFUNCTION("if(B130&lt;=999,if(B130&lt;=99,IF(B130&lt;=9,join(,""000"",B130),join(,""00"",B130)),join(,""0"",B130)),B130)"),1032.0)</f>
        <v>1032</v>
      </c>
      <c r="E130" s="270" t="s">
        <v>328</v>
      </c>
      <c r="F130" s="263" t="str">
        <f>vlookup(B130,'Geotagging Master All-Training '!$A$2:$C$2474,2,false)</f>
        <v>#N/A</v>
      </c>
      <c r="G130" s="349" t="s">
        <v>20</v>
      </c>
      <c r="H130" s="350">
        <v>16.0</v>
      </c>
    </row>
    <row r="131" hidden="1">
      <c r="A131" s="272">
        <v>1094.0</v>
      </c>
      <c r="B131" s="272">
        <v>1094.0</v>
      </c>
      <c r="C131" s="348">
        <v>127.0</v>
      </c>
      <c r="D131" s="273">
        <f>IFERROR(__xludf.DUMMYFUNCTION("if(B131&lt;=999,if(B131&lt;=99,IF(B131&lt;=9,join(,""000"",B131),join(,""00"",B131)),join(,""0"",B131)),B131)"),1094.0)</f>
        <v>1094</v>
      </c>
      <c r="E131" s="274" t="s">
        <v>329</v>
      </c>
      <c r="F131" s="263" t="str">
        <f>vlookup(B131,'Geotagging Master All-Training '!$A$2:$C$2474,2,false)</f>
        <v>#N/A</v>
      </c>
      <c r="G131" s="351" t="s">
        <v>20</v>
      </c>
      <c r="H131" s="352">
        <v>16.0</v>
      </c>
    </row>
    <row r="132" hidden="1">
      <c r="A132" s="258">
        <v>1340.0</v>
      </c>
      <c r="B132" s="258">
        <v>1340.0</v>
      </c>
      <c r="C132" s="348">
        <v>128.0</v>
      </c>
      <c r="D132" s="260">
        <f>IFERROR(__xludf.DUMMYFUNCTION("if(B132&lt;=999,if(B132&lt;=99,IF(B132&lt;=9,join(,""000"",B132),join(,""00"",B132)),join(,""0"",B132)),B132)"),1340.0)</f>
        <v>1340</v>
      </c>
      <c r="E132" s="270" t="s">
        <v>333</v>
      </c>
      <c r="F132" s="263" t="str">
        <f>vlookup(B132,'Geotagging Master All-Training '!$A$2:$C$2474,2,false)</f>
        <v>#N/A</v>
      </c>
      <c r="G132" s="349" t="s">
        <v>20</v>
      </c>
      <c r="H132" s="350" t="s">
        <v>334</v>
      </c>
    </row>
    <row r="133" hidden="1">
      <c r="A133" s="258">
        <v>1122.0</v>
      </c>
      <c r="B133" s="259">
        <v>1122.0</v>
      </c>
      <c r="C133" s="348">
        <v>129.0</v>
      </c>
      <c r="D133" s="260">
        <f>IFERROR(__xludf.DUMMYFUNCTION("if(B133&lt;=999,if(B133&lt;=99,IF(B133&lt;=9,join(,""000"",B133),join(,""00"",B133)),join(,""0"",B133)),B133)"),1122.0)</f>
        <v>1122</v>
      </c>
      <c r="E133" s="270" t="s">
        <v>335</v>
      </c>
      <c r="F133" s="263" t="str">
        <f>vlookup(B133,'Geotagging Master All-Training '!$A$2:$C$2474,2,false)</f>
        <v>#N/A</v>
      </c>
      <c r="G133" s="349" t="s">
        <v>20</v>
      </c>
      <c r="H133" s="350" t="s">
        <v>336</v>
      </c>
    </row>
    <row r="134" hidden="1">
      <c r="A134" s="272">
        <v>1279.0</v>
      </c>
      <c r="B134" s="272">
        <v>1279.0</v>
      </c>
      <c r="C134" s="348">
        <v>130.0</v>
      </c>
      <c r="D134" s="273">
        <f>IFERROR(__xludf.DUMMYFUNCTION("if(B134&lt;=999,if(B134&lt;=99,IF(B134&lt;=9,join(,""000"",B134),join(,""00"",B134)),join(,""0"",B134)),B134)"),1279.0)</f>
        <v>1279</v>
      </c>
      <c r="E134" s="304" t="s">
        <v>337</v>
      </c>
      <c r="F134" s="263" t="str">
        <f>vlookup(B134,'Geotagging Master All-Training '!$A$2:$C$2474,2,false)</f>
        <v>#N/A</v>
      </c>
      <c r="G134" s="351" t="s">
        <v>20</v>
      </c>
      <c r="H134" s="352" t="e">
        <v>#N/A</v>
      </c>
    </row>
    <row r="135" hidden="1">
      <c r="A135" s="258">
        <v>1105.0</v>
      </c>
      <c r="B135" s="259">
        <v>1105.0</v>
      </c>
      <c r="C135" s="348">
        <v>131.0</v>
      </c>
      <c r="D135" s="260">
        <f>IFERROR(__xludf.DUMMYFUNCTION("if(B135&lt;=999,if(B135&lt;=99,IF(B135&lt;=9,join(,""000"",B135),join(,""00"",B135)),join(,""0"",B135)),B135)"),1105.0)</f>
        <v>1105</v>
      </c>
      <c r="E135" s="270" t="s">
        <v>339</v>
      </c>
      <c r="F135" s="263" t="str">
        <f>vlookup(B135,'Geotagging Master All-Training '!$A$2:$C$2474,2,false)</f>
        <v>#N/A</v>
      </c>
      <c r="G135" s="349" t="s">
        <v>20</v>
      </c>
      <c r="H135" s="350"/>
    </row>
    <row r="136" hidden="1">
      <c r="A136" s="258">
        <v>1454.0</v>
      </c>
      <c r="B136" s="259">
        <v>1454.0</v>
      </c>
      <c r="C136" s="348">
        <v>132.0</v>
      </c>
      <c r="D136" s="260">
        <f>IFERROR(__xludf.DUMMYFUNCTION("if(B136&lt;=999,if(B136&lt;=99,IF(B136&lt;=9,join(,""000"",B136),join(,""00"",B136)),join(,""0"",B136)),B136)"),1454.0)</f>
        <v>1454</v>
      </c>
      <c r="E136" s="270" t="s">
        <v>340</v>
      </c>
      <c r="F136" s="263" t="str">
        <f>vlookup(B136,'Geotagging Master All-Training '!$A$2:$C$2474,2,false)</f>
        <v>#N/A</v>
      </c>
      <c r="G136" s="349" t="s">
        <v>20</v>
      </c>
      <c r="H136" s="350">
        <v>16.0</v>
      </c>
    </row>
    <row r="137" hidden="1">
      <c r="A137" s="258">
        <v>1411.0</v>
      </c>
      <c r="B137" s="258">
        <v>1411.0</v>
      </c>
      <c r="C137" s="348">
        <v>133.0</v>
      </c>
      <c r="D137" s="260">
        <f>IFERROR(__xludf.DUMMYFUNCTION("if(B137&lt;=999,if(B137&lt;=99,IF(B137&lt;=9,join(,""000"",B137),join(,""00"",B137)),join(,""0"",B137)),B137)"),1411.0)</f>
        <v>1411</v>
      </c>
      <c r="E137" s="270" t="s">
        <v>343</v>
      </c>
      <c r="F137" s="263" t="str">
        <f>vlookup(B137,'Geotagging Master All-Training '!$A$2:$C$2474,2,false)</f>
        <v>#N/A</v>
      </c>
      <c r="G137" s="349" t="s">
        <v>20</v>
      </c>
      <c r="H137" s="350">
        <v>32.0</v>
      </c>
    </row>
    <row r="138" hidden="1">
      <c r="A138" s="258">
        <v>1116.0</v>
      </c>
      <c r="B138" s="258">
        <v>1116.0</v>
      </c>
      <c r="C138" s="348">
        <v>134.0</v>
      </c>
      <c r="D138" s="260">
        <f>IFERROR(__xludf.DUMMYFUNCTION("if(B138&lt;=999,if(B138&lt;=99,IF(B138&lt;=9,join(,""000"",B138),join(,""00"",B138)),join(,""0"",B138)),B138)"),1116.0)</f>
        <v>1116</v>
      </c>
      <c r="E138" s="262" t="s">
        <v>344</v>
      </c>
      <c r="F138" s="263" t="str">
        <f>vlookup(B138,'Geotagging Master All-Training '!$A$2:$C$2474,2,false)</f>
        <v>#N/A</v>
      </c>
      <c r="G138" s="349" t="s">
        <v>20</v>
      </c>
      <c r="H138" s="350" t="s">
        <v>346</v>
      </c>
    </row>
    <row r="139" hidden="1">
      <c r="A139" s="258">
        <v>2.0</v>
      </c>
      <c r="B139" s="258">
        <v>2.0</v>
      </c>
      <c r="C139" s="348">
        <v>135.0</v>
      </c>
      <c r="D139" s="260" t="str">
        <f>IFERROR(__xludf.DUMMYFUNCTION("if(B139&lt;=999,if(B139&lt;=99,IF(B139&lt;=9,join(,""000"",B139),join(,""00"",B139)),join(,""0"",B139)),B139)"),"0002")</f>
        <v>0002</v>
      </c>
      <c r="E139" s="270" t="s">
        <v>68</v>
      </c>
      <c r="F139" s="263" t="str">
        <f>vlookup(B139,'Geotagging Master All-Training '!$A$2:$C$2474,2,false)</f>
        <v>#N/A</v>
      </c>
      <c r="G139" s="349" t="s">
        <v>20</v>
      </c>
      <c r="H139" s="350" t="e">
        <v>#N/A</v>
      </c>
    </row>
    <row r="140" hidden="1">
      <c r="A140" s="258">
        <v>820.0</v>
      </c>
      <c r="B140" s="258">
        <v>820.0</v>
      </c>
      <c r="C140" s="348">
        <v>136.0</v>
      </c>
      <c r="D140" s="260" t="str">
        <f>IFERROR(__xludf.DUMMYFUNCTION("if(B140&lt;=999,if(B140&lt;=99,IF(B140&lt;=9,join(,""000"",B140),join(,""00"",B140)),join(,""0"",B140)),B140)"),"0820")</f>
        <v>0820</v>
      </c>
      <c r="E140" s="270" t="s">
        <v>350</v>
      </c>
      <c r="F140" s="263" t="str">
        <f>vlookup(B140,'Geotagging Master All-Training '!$A$2:$C$2474,2,false)</f>
        <v>#N/A</v>
      </c>
      <c r="G140" s="349" t="s">
        <v>20</v>
      </c>
      <c r="H140" s="350">
        <v>25001.0</v>
      </c>
    </row>
    <row r="141">
      <c r="A141" s="272">
        <v>1324.0</v>
      </c>
      <c r="B141" s="272">
        <v>1324.0</v>
      </c>
      <c r="C141" s="353">
        <v>10.0</v>
      </c>
      <c r="D141" s="273">
        <v>1324.0</v>
      </c>
      <c r="E141" s="304" t="s">
        <v>366</v>
      </c>
      <c r="F141" s="303" t="s">
        <v>1404</v>
      </c>
      <c r="G141" s="351" t="s">
        <v>35</v>
      </c>
      <c r="H141" s="352" t="e">
        <v>#N/A</v>
      </c>
    </row>
    <row r="142" hidden="1">
      <c r="A142" s="258">
        <v>240.0</v>
      </c>
      <c r="B142" s="259">
        <v>240.0</v>
      </c>
      <c r="C142" s="348">
        <v>138.0</v>
      </c>
      <c r="D142" s="260" t="str">
        <f>IFERROR(__xludf.DUMMYFUNCTION("if(B142&lt;=999,if(B142&lt;=99,IF(B142&lt;=9,join(,""000"",B142),join(,""00"",B142)),join(,""0"",B142)),B142)"),"0240")</f>
        <v>0240</v>
      </c>
      <c r="E142" s="270" t="s">
        <v>352</v>
      </c>
      <c r="F142" s="263" t="str">
        <f>vlookup(B142,'Geotagging Master All-Training '!$A$2:$C$2474,2,false)</f>
        <v>#N/A</v>
      </c>
      <c r="G142" s="349" t="s">
        <v>20</v>
      </c>
      <c r="H142" s="350" t="e">
        <v>#N/A</v>
      </c>
    </row>
    <row r="143" hidden="1">
      <c r="A143" s="258">
        <v>1343.0</v>
      </c>
      <c r="B143" s="259">
        <v>1343.0</v>
      </c>
      <c r="C143" s="348">
        <v>139.0</v>
      </c>
      <c r="D143" s="260">
        <f>IFERROR(__xludf.DUMMYFUNCTION("if(B143&lt;=999,if(B143&lt;=99,IF(B143&lt;=9,join(,""000"",B143),join(,""00"",B143)),join(,""0"",B143)),B143)"),1343.0)</f>
        <v>1343</v>
      </c>
      <c r="E143" s="270" t="s">
        <v>353</v>
      </c>
      <c r="F143" s="263" t="str">
        <f>vlookup(B143,'Geotagging Master All-Training '!$A$2:$C$2474,2,false)</f>
        <v>#N/A</v>
      </c>
      <c r="G143" s="349" t="s">
        <v>20</v>
      </c>
      <c r="H143" s="350"/>
    </row>
    <row r="144" hidden="1">
      <c r="A144" s="258">
        <v>799.0</v>
      </c>
      <c r="B144" s="258">
        <v>799.0</v>
      </c>
      <c r="C144" s="348">
        <v>140.0</v>
      </c>
      <c r="D144" s="260" t="str">
        <f>IFERROR(__xludf.DUMMYFUNCTION("if(B144&lt;=999,if(B144&lt;=99,IF(B144&lt;=9,join(,""000"",B144),join(,""00"",B144)),join(,""0"",B144)),B144)"),"0799")</f>
        <v>0799</v>
      </c>
      <c r="E144" s="270" t="s">
        <v>358</v>
      </c>
      <c r="F144" s="263" t="str">
        <f>vlookup(B144,'Geotagging Master All-Training '!$A$2:$C$2474,2,false)</f>
        <v>#N/A</v>
      </c>
      <c r="G144" s="349" t="s">
        <v>20</v>
      </c>
      <c r="H144" s="350">
        <v>80.0</v>
      </c>
    </row>
    <row r="145" hidden="1">
      <c r="A145" s="258">
        <v>1429.0</v>
      </c>
      <c r="B145" s="259">
        <v>1429.0</v>
      </c>
      <c r="C145" s="348">
        <v>141.0</v>
      </c>
      <c r="D145" s="260">
        <f>IFERROR(__xludf.DUMMYFUNCTION("if(B145&lt;=999,if(B145&lt;=99,IF(B145&lt;=9,join(,""000"",B145),join(,""00"",B145)),join(,""0"",B145)),B145)"),1429.0)</f>
        <v>1429</v>
      </c>
      <c r="E145" s="262" t="s">
        <v>359</v>
      </c>
      <c r="F145" s="263" t="str">
        <f>vlookup(B145,'Geotagging Master All-Training '!$A$2:$C$2474,2,false)</f>
        <v>#N/A</v>
      </c>
      <c r="G145" s="349" t="s">
        <v>20</v>
      </c>
      <c r="H145" s="350">
        <v>80.0</v>
      </c>
    </row>
    <row r="146" hidden="1">
      <c r="A146" s="258">
        <v>1051.0</v>
      </c>
      <c r="B146" s="259">
        <v>1051.0</v>
      </c>
      <c r="C146" s="348">
        <v>142.0</v>
      </c>
      <c r="D146" s="260">
        <f>IFERROR(__xludf.DUMMYFUNCTION("if(B146&lt;=999,if(B146&lt;=99,IF(B146&lt;=9,join(,""000"",B146),join(,""00"",B146)),join(,""0"",B146)),B146)"),1051.0)</f>
        <v>1051</v>
      </c>
      <c r="E146" s="262" t="s">
        <v>363</v>
      </c>
      <c r="F146" s="263" t="str">
        <f>vlookup(B146,'Geotagging Master All-Training '!$A$2:$C$2474,2,false)</f>
        <v>#N/A</v>
      </c>
      <c r="G146" s="349" t="s">
        <v>20</v>
      </c>
      <c r="H146" s="350">
        <v>8.0</v>
      </c>
    </row>
    <row r="147" hidden="1">
      <c r="A147" s="258">
        <v>976.0</v>
      </c>
      <c r="B147" s="258">
        <v>976.0</v>
      </c>
      <c r="C147" s="348">
        <v>143.0</v>
      </c>
      <c r="D147" s="260" t="str">
        <f>IFERROR(__xludf.DUMMYFUNCTION("if(B147&lt;=999,if(B147&lt;=99,IF(B147&lt;=9,join(,""000"",B147),join(,""00"",B147)),join(,""0"",B147)),B147)"),"0976")</f>
        <v>0976</v>
      </c>
      <c r="E147" s="262" t="s">
        <v>365</v>
      </c>
      <c r="F147" s="263" t="str">
        <f>vlookup(B147,'Geotagging Master All-Training '!$A$2:$C$2474,2,false)</f>
        <v>#N/A</v>
      </c>
      <c r="G147" s="349" t="s">
        <v>20</v>
      </c>
      <c r="H147" s="350">
        <v>8.0</v>
      </c>
    </row>
    <row r="148" hidden="1">
      <c r="A148" s="272">
        <v>77.0</v>
      </c>
      <c r="B148" s="272">
        <v>77.0</v>
      </c>
      <c r="C148" s="353">
        <v>160.0</v>
      </c>
      <c r="D148" s="273" t="str">
        <f>IFERROR(__xludf.DUMMYFUNCTION("if(B148&lt;=999,if(B148&lt;=99,IF(B148&lt;=9,join(,""000"",B148),join(,""00"",B148)),join(,""0"",B148)),B148)"),"0077")</f>
        <v>0077</v>
      </c>
      <c r="E148" s="304" t="s">
        <v>412</v>
      </c>
      <c r="F148" s="303" t="str">
        <f>vlookup(B148,'Geotagging Master All-Training '!$A$2:$C$2474,2,false)</f>
        <v>#N/A</v>
      </c>
      <c r="G148" s="351" t="s">
        <v>20</v>
      </c>
      <c r="H148" s="352">
        <v>8.0</v>
      </c>
    </row>
    <row r="149" hidden="1">
      <c r="A149" s="258">
        <v>1250.0</v>
      </c>
      <c r="B149" s="259">
        <v>1250.0</v>
      </c>
      <c r="C149" s="348">
        <v>145.0</v>
      </c>
      <c r="D149" s="260">
        <f>IFERROR(__xludf.DUMMYFUNCTION("if(B149&lt;=999,if(B149&lt;=99,IF(B149&lt;=9,join(,""000"",B149),join(,""00"",B149)),join(,""0"",B149)),B149)"),1250.0)</f>
        <v>1250</v>
      </c>
      <c r="E149" s="270" t="s">
        <v>367</v>
      </c>
      <c r="F149" s="263" t="str">
        <f>vlookup(B149,'Geotagging Master All-Training '!$A$2:$C$2474,2,false)</f>
        <v>#N/A</v>
      </c>
      <c r="G149" s="349" t="s">
        <v>20</v>
      </c>
      <c r="H149" s="350" t="s">
        <v>369</v>
      </c>
    </row>
    <row r="150" hidden="1">
      <c r="A150" s="258">
        <v>1424.0</v>
      </c>
      <c r="B150" s="259">
        <v>1424.0</v>
      </c>
      <c r="C150" s="348">
        <v>146.0</v>
      </c>
      <c r="D150" s="260">
        <f>IFERROR(__xludf.DUMMYFUNCTION("if(B150&lt;=999,if(B150&lt;=99,IF(B150&lt;=9,join(,""000"",B150),join(,""00"",B150)),join(,""0"",B150)),B150)"),1424.0)</f>
        <v>1424</v>
      </c>
      <c r="E150" s="262" t="s">
        <v>371</v>
      </c>
      <c r="F150" s="263" t="str">
        <f>vlookup(B150,'Geotagging Master All-Training '!$A$2:$C$2474,2,false)</f>
        <v>#N/A</v>
      </c>
      <c r="G150" s="349" t="s">
        <v>20</v>
      </c>
      <c r="H150" s="350">
        <v>16.0</v>
      </c>
    </row>
    <row r="151" hidden="1">
      <c r="A151" s="258">
        <v>1356.0</v>
      </c>
      <c r="B151" s="258">
        <v>1356.0</v>
      </c>
      <c r="C151" s="348">
        <v>147.0</v>
      </c>
      <c r="D151" s="260">
        <f>IFERROR(__xludf.DUMMYFUNCTION("if(B151&lt;=999,if(B151&lt;=99,IF(B151&lt;=9,join(,""000"",B151),join(,""00"",B151)),join(,""0"",B151)),B151)"),1356.0)</f>
        <v>1356</v>
      </c>
      <c r="E151" s="262" t="s">
        <v>375</v>
      </c>
      <c r="F151" s="263" t="str">
        <f>vlookup(B151,'Geotagging Master All-Training '!$A$2:$C$2474,2,false)</f>
        <v>#N/A</v>
      </c>
      <c r="G151" s="349" t="s">
        <v>20</v>
      </c>
      <c r="H151" s="350" t="s">
        <v>377</v>
      </c>
    </row>
    <row r="152" hidden="1">
      <c r="A152" s="258">
        <v>1019.0</v>
      </c>
      <c r="B152" s="258">
        <v>1019.0</v>
      </c>
      <c r="C152" s="348">
        <v>148.0</v>
      </c>
      <c r="D152" s="260">
        <f>IFERROR(__xludf.DUMMYFUNCTION("if(B152&lt;=999,if(B152&lt;=99,IF(B152&lt;=9,join(,""000"",B152),join(,""00"",B152)),join(,""0"",B152)),B152)"),1019.0)</f>
        <v>1019</v>
      </c>
      <c r="E152" s="262" t="s">
        <v>378</v>
      </c>
      <c r="F152" s="263" t="str">
        <f>vlookup(B152,'Geotagging Master All-Training '!$A$2:$C$2474,2,false)</f>
        <v>#N/A</v>
      </c>
      <c r="G152" s="349" t="s">
        <v>20</v>
      </c>
      <c r="H152" s="350" t="e">
        <v>#N/A</v>
      </c>
    </row>
    <row r="153" hidden="1">
      <c r="A153" s="258">
        <v>1066.0</v>
      </c>
      <c r="B153" s="259">
        <v>1066.0</v>
      </c>
      <c r="C153" s="348">
        <v>149.0</v>
      </c>
      <c r="D153" s="260">
        <f>IFERROR(__xludf.DUMMYFUNCTION("if(B153&lt;=999,if(B153&lt;=99,IF(B153&lt;=9,join(,""000"",B153),join(,""00"",B153)),join(,""0"",B153)),B153)"),1066.0)</f>
        <v>1066</v>
      </c>
      <c r="E153" s="262" t="s">
        <v>380</v>
      </c>
      <c r="F153" s="263" t="str">
        <f>vlookup(B153,'Geotagging Master All-Training '!$A$2:$C$2474,2,false)</f>
        <v>#N/A</v>
      </c>
      <c r="G153" s="349" t="s">
        <v>20</v>
      </c>
      <c r="H153" s="350">
        <v>80.0</v>
      </c>
    </row>
    <row r="154" hidden="1">
      <c r="A154" s="272">
        <v>1355.0</v>
      </c>
      <c r="B154" s="272">
        <v>1355.0</v>
      </c>
      <c r="C154" s="348">
        <v>150.0</v>
      </c>
      <c r="D154" s="273">
        <f>IFERROR(__xludf.DUMMYFUNCTION("if(B154&lt;=999,if(B154&lt;=99,IF(B154&lt;=9,join(,""000"",B154),join(,""00"",B154)),join(,""0"",B154)),B154)"),1355.0)</f>
        <v>1355</v>
      </c>
      <c r="E154" s="274" t="s">
        <v>384</v>
      </c>
      <c r="F154" s="263" t="str">
        <f>vlookup(B154,'Geotagging Master All-Training '!$A$2:$C$2474,2,false)</f>
        <v>#N/A</v>
      </c>
      <c r="G154" s="351" t="s">
        <v>20</v>
      </c>
      <c r="H154" s="352">
        <v>80.0</v>
      </c>
    </row>
    <row r="155" hidden="1">
      <c r="A155" s="258">
        <v>1140.0</v>
      </c>
      <c r="B155" s="258">
        <v>1140.0</v>
      </c>
      <c r="C155" s="348">
        <v>151.0</v>
      </c>
      <c r="D155" s="260">
        <f>IFERROR(__xludf.DUMMYFUNCTION("if(B155&lt;=999,if(B155&lt;=99,IF(B155&lt;=9,join(,""000"",B155),join(,""00"",B155)),join(,""0"",B155)),B155)"),1140.0)</f>
        <v>1140</v>
      </c>
      <c r="E155" s="270" t="s">
        <v>385</v>
      </c>
      <c r="F155" s="263" t="str">
        <f>vlookup(B155,'Geotagging Master All-Training '!$A$2:$C$2474,2,false)</f>
        <v>#N/A</v>
      </c>
      <c r="G155" s="349" t="s">
        <v>20</v>
      </c>
      <c r="H155" s="350"/>
    </row>
    <row r="156" hidden="1">
      <c r="A156" s="258">
        <v>1127.0</v>
      </c>
      <c r="B156" s="258">
        <v>1127.0</v>
      </c>
      <c r="C156" s="348">
        <v>152.0</v>
      </c>
      <c r="D156" s="260">
        <f>IFERROR(__xludf.DUMMYFUNCTION("if(B156&lt;=999,if(B156&lt;=99,IF(B156&lt;=9,join(,""000"",B156),join(,""00"",B156)),join(,""0"",B156)),B156)"),1127.0)</f>
        <v>1127</v>
      </c>
      <c r="E156" s="270" t="s">
        <v>392</v>
      </c>
      <c r="F156" s="263" t="str">
        <f>vlookup(B156,'Geotagging Master All-Training '!$A$2:$C$2474,2,false)</f>
        <v>#N/A</v>
      </c>
      <c r="G156" s="349" t="s">
        <v>20</v>
      </c>
      <c r="H156" s="350"/>
    </row>
    <row r="157" hidden="1">
      <c r="A157" s="258">
        <v>1136.0</v>
      </c>
      <c r="B157" s="258">
        <v>1136.0</v>
      </c>
      <c r="C157" s="348">
        <v>153.0</v>
      </c>
      <c r="D157" s="260">
        <f>IFERROR(__xludf.DUMMYFUNCTION("if(B157&lt;=999,if(B157&lt;=99,IF(B157&lt;=9,join(,""000"",B157),join(,""00"",B157)),join(,""0"",B157)),B157)"),1136.0)</f>
        <v>1136</v>
      </c>
      <c r="E157" s="262" t="s">
        <v>395</v>
      </c>
      <c r="F157" s="263" t="str">
        <f>vlookup(B157,'Geotagging Master All-Training '!$A$2:$C$2474,2,false)</f>
        <v>#N/A</v>
      </c>
      <c r="G157" s="349" t="s">
        <v>20</v>
      </c>
      <c r="H157" s="350" t="s">
        <v>397</v>
      </c>
    </row>
    <row r="158" hidden="1">
      <c r="A158" s="258">
        <v>1317.0</v>
      </c>
      <c r="B158" s="258">
        <v>1317.0</v>
      </c>
      <c r="C158" s="348">
        <v>154.0</v>
      </c>
      <c r="D158" s="260">
        <f>IFERROR(__xludf.DUMMYFUNCTION("if(B158&lt;=999,if(B158&lt;=99,IF(B158&lt;=9,join(,""000"",B158),join(,""00"",B158)),join(,""0"",B158)),B158)"),1317.0)</f>
        <v>1317</v>
      </c>
      <c r="E158" s="262" t="s">
        <v>399</v>
      </c>
      <c r="F158" s="263" t="str">
        <f>vlookup(B158,'Geotagging Master All-Training '!$A$2:$C$2474,2,false)</f>
        <v>#N/A</v>
      </c>
      <c r="G158" s="349" t="s">
        <v>20</v>
      </c>
      <c r="H158" s="350">
        <v>80.0</v>
      </c>
    </row>
    <row r="159" hidden="1">
      <c r="A159" s="258">
        <v>1425.0</v>
      </c>
      <c r="B159" s="258">
        <v>1425.0</v>
      </c>
      <c r="C159" s="348">
        <v>155.0</v>
      </c>
      <c r="D159" s="260">
        <f>IFERROR(__xludf.DUMMYFUNCTION("if(B159&lt;=999,if(B159&lt;=99,IF(B159&lt;=9,join(,""000"",B159),join(,""00"",B159)),join(,""0"",B159)),B159)"),1425.0)</f>
        <v>1425</v>
      </c>
      <c r="E159" s="262" t="s">
        <v>401</v>
      </c>
      <c r="F159" s="263" t="str">
        <f>vlookup(B159,'Geotagging Master All-Training '!$A$2:$C$2474,2,false)</f>
        <v>#N/A</v>
      </c>
      <c r="G159" s="349" t="s">
        <v>20</v>
      </c>
      <c r="H159" s="350">
        <v>80.0</v>
      </c>
    </row>
    <row r="160" hidden="1">
      <c r="A160" s="258">
        <v>1097.0</v>
      </c>
      <c r="B160" s="258">
        <v>1097.0</v>
      </c>
      <c r="C160" s="348">
        <v>156.0</v>
      </c>
      <c r="D160" s="260">
        <f>IFERROR(__xludf.DUMMYFUNCTION("if(B160&lt;=999,if(B160&lt;=99,IF(B160&lt;=9,join(,""000"",B160),join(,""00"",B160)),join(,""0"",B160)),B160)"),1097.0)</f>
        <v>1097</v>
      </c>
      <c r="E160" s="262" t="s">
        <v>403</v>
      </c>
      <c r="F160" s="263" t="str">
        <f>vlookup(B160,'Geotagging Master All-Training '!$A$2:$C$2474,2,false)</f>
        <v>#N/A</v>
      </c>
      <c r="G160" s="349" t="s">
        <v>20</v>
      </c>
      <c r="H160" s="350">
        <v>16.0</v>
      </c>
    </row>
    <row r="161" hidden="1">
      <c r="A161" s="258">
        <v>1245.0</v>
      </c>
      <c r="B161" s="258">
        <v>1245.0</v>
      </c>
      <c r="C161" s="348">
        <v>157.0</v>
      </c>
      <c r="D161" s="260">
        <f>IFERROR(__xludf.DUMMYFUNCTION("if(B161&lt;=999,if(B161&lt;=99,IF(B161&lt;=9,join(,""000"",B161),join(,""00"",B161)),join(,""0"",B161)),B161)"),1245.0)</f>
        <v>1245</v>
      </c>
      <c r="E161" s="262" t="s">
        <v>407</v>
      </c>
      <c r="F161" s="263" t="str">
        <f>vlookup(B161,'Geotagging Master All-Training '!$A$2:$C$2474,2,false)</f>
        <v>#N/A</v>
      </c>
      <c r="G161" s="349" t="s">
        <v>20</v>
      </c>
      <c r="H161" s="350">
        <v>16.0</v>
      </c>
    </row>
    <row r="162" hidden="1">
      <c r="A162" s="258">
        <v>1099.0</v>
      </c>
      <c r="B162" s="258">
        <v>1099.0</v>
      </c>
      <c r="C162" s="348">
        <v>158.0</v>
      </c>
      <c r="D162" s="260">
        <f>IFERROR(__xludf.DUMMYFUNCTION("if(B162&lt;=999,if(B162&lt;=99,IF(B162&lt;=9,join(,""000"",B162),join(,""00"",B162)),join(,""0"",B162)),B162)"),1099.0)</f>
        <v>1099</v>
      </c>
      <c r="E162" s="270" t="s">
        <v>408</v>
      </c>
      <c r="F162" s="263" t="str">
        <f>vlookup(B162,'Geotagging Master All-Training '!$A$2:$C$2474,2,false)</f>
        <v>#N/A</v>
      </c>
      <c r="G162" s="349" t="s">
        <v>20</v>
      </c>
      <c r="H162" s="350" t="s">
        <v>410</v>
      </c>
    </row>
    <row r="163" hidden="1">
      <c r="A163" s="258">
        <v>1256.0</v>
      </c>
      <c r="B163" s="259">
        <v>1256.0</v>
      </c>
      <c r="C163" s="348">
        <v>159.0</v>
      </c>
      <c r="D163" s="260">
        <f>IFERROR(__xludf.DUMMYFUNCTION("if(B163&lt;=999,if(B163&lt;=99,IF(B163&lt;=9,join(,""000"",B163),join(,""00"",B163)),join(,""0"",B163)),B163)"),1256.0)</f>
        <v>1256</v>
      </c>
      <c r="E163" s="262" t="s">
        <v>411</v>
      </c>
      <c r="F163" s="263" t="str">
        <f>vlookup(B163,'Geotagging Master All-Training '!$A$2:$C$2474,2,false)</f>
        <v>#N/A</v>
      </c>
      <c r="G163" s="349" t="s">
        <v>20</v>
      </c>
      <c r="H163" s="350" t="s">
        <v>410</v>
      </c>
    </row>
    <row r="164">
      <c r="A164" s="272">
        <v>469.0</v>
      </c>
      <c r="B164" s="272">
        <v>469.0</v>
      </c>
      <c r="C164" s="353">
        <v>11.0</v>
      </c>
      <c r="D164" s="273" t="s">
        <v>1354</v>
      </c>
      <c r="E164" s="304" t="s">
        <v>462</v>
      </c>
      <c r="F164" s="303" t="s">
        <v>1355</v>
      </c>
      <c r="G164" s="351" t="s">
        <v>35</v>
      </c>
      <c r="H164" s="352" t="e">
        <v>#N/A</v>
      </c>
    </row>
    <row r="165" hidden="1">
      <c r="A165" s="258">
        <v>742.0</v>
      </c>
      <c r="B165" s="258">
        <v>742.0</v>
      </c>
      <c r="C165" s="348">
        <v>161.0</v>
      </c>
      <c r="D165" s="260" t="str">
        <f>IFERROR(__xludf.DUMMYFUNCTION("if(B165&lt;=999,if(B165&lt;=99,IF(B165&lt;=9,join(,""000"",B165),join(,""00"",B165)),join(,""0"",B165)),B165)"),"0742")</f>
        <v>0742</v>
      </c>
      <c r="E165" s="262" t="s">
        <v>413</v>
      </c>
      <c r="F165" s="263" t="str">
        <f>vlookup(B165,'Geotagging Master All-Training '!$A$2:$C$2474,2,false)</f>
        <v>#N/A</v>
      </c>
      <c r="G165" s="349" t="s">
        <v>20</v>
      </c>
      <c r="H165" s="350" t="s">
        <v>414</v>
      </c>
    </row>
    <row r="166" hidden="1">
      <c r="A166" s="258">
        <v>1064.0</v>
      </c>
      <c r="B166" s="258">
        <v>1064.0</v>
      </c>
      <c r="C166" s="348">
        <v>162.0</v>
      </c>
      <c r="D166" s="260">
        <f>IFERROR(__xludf.DUMMYFUNCTION("if(B166&lt;=999,if(B166&lt;=99,IF(B166&lt;=9,join(,""000"",B166),join(,""00"",B166)),join(,""0"",B166)),B166)"),1064.0)</f>
        <v>1064</v>
      </c>
      <c r="E166" s="270" t="s">
        <v>100</v>
      </c>
      <c r="F166" s="263" t="str">
        <f>vlookup(B166,'Geotagging Master All-Training '!$A$2:$C$2474,2,false)</f>
        <v>#N/A</v>
      </c>
      <c r="G166" s="349" t="s">
        <v>20</v>
      </c>
      <c r="H166" s="350" t="s">
        <v>103</v>
      </c>
    </row>
    <row r="167" hidden="1">
      <c r="A167" s="258">
        <v>243.0</v>
      </c>
      <c r="B167" s="258">
        <v>243.0</v>
      </c>
      <c r="C167" s="348">
        <v>163.0</v>
      </c>
      <c r="D167" s="260">
        <v>24.0</v>
      </c>
      <c r="E167" s="262" t="s">
        <v>418</v>
      </c>
      <c r="F167" s="263" t="str">
        <f>vlookup(B167,'Geotagging Master All-Training '!$A$2:$C$2474,2,false)</f>
        <v>#N/A</v>
      </c>
      <c r="G167" s="349" t="s">
        <v>20</v>
      </c>
      <c r="H167" s="350">
        <v>18.0</v>
      </c>
    </row>
    <row r="168" hidden="1">
      <c r="A168" s="258">
        <v>217.0</v>
      </c>
      <c r="B168" s="258">
        <v>217.0</v>
      </c>
      <c r="C168" s="348">
        <v>164.0</v>
      </c>
      <c r="D168" s="260" t="str">
        <f>IFERROR(__xludf.DUMMYFUNCTION("if(B168&lt;=999,if(B168&lt;=99,IF(B168&lt;=9,join(,""000"",B168),join(,""00"",B168)),join(,""0"",B168)),B168)"),"0217")</f>
        <v>0217</v>
      </c>
      <c r="E168" s="270" t="s">
        <v>449</v>
      </c>
      <c r="F168" s="263" t="str">
        <f>vlookup(B168,'Geotagging Master All-Training '!$A$2:$C$2474,2,false)</f>
        <v>#N/A</v>
      </c>
      <c r="G168" s="349" t="s">
        <v>20</v>
      </c>
      <c r="H168" s="350" t="s">
        <v>450</v>
      </c>
    </row>
    <row r="169" hidden="1">
      <c r="A169" s="258">
        <v>44.0</v>
      </c>
      <c r="B169" s="259">
        <v>44.0</v>
      </c>
      <c r="C169" s="348">
        <v>165.0</v>
      </c>
      <c r="D169" s="260" t="str">
        <f>IFERROR(__xludf.DUMMYFUNCTION("if(B169&lt;=999,if(B169&lt;=99,IF(B169&lt;=9,join(,""000"",B169),join(,""00"",B169)),join(,""0"",B169)),B169)"),"0044")</f>
        <v>0044</v>
      </c>
      <c r="E169" s="262" t="s">
        <v>423</v>
      </c>
      <c r="F169" s="263" t="str">
        <f>vlookup(B169,'Geotagging Master All-Training '!$A$2:$C$2474,2,false)</f>
        <v>#N/A</v>
      </c>
      <c r="G169" s="349" t="s">
        <v>20</v>
      </c>
      <c r="H169" s="350" t="s">
        <v>425</v>
      </c>
    </row>
    <row r="170" hidden="1">
      <c r="A170" s="258">
        <v>803.0</v>
      </c>
      <c r="B170" s="258">
        <v>803.0</v>
      </c>
      <c r="C170" s="348">
        <v>166.0</v>
      </c>
      <c r="D170" s="260" t="str">
        <f>IFERROR(__xludf.DUMMYFUNCTION("if(B170&lt;=999,if(B170&lt;=99,IF(B170&lt;=9,join(,""000"",B170),join(,""00"",B170)),join(,""0"",B170)),B170)"),"0803")</f>
        <v>0803</v>
      </c>
      <c r="E170" s="262" t="s">
        <v>427</v>
      </c>
      <c r="F170" s="263" t="str">
        <f>vlookup(B170,'Geotagging Master All-Training '!$A$2:$C$2474,2,false)</f>
        <v>#N/A</v>
      </c>
      <c r="G170" s="349" t="s">
        <v>20</v>
      </c>
      <c r="H170" s="350">
        <v>25001.0</v>
      </c>
    </row>
    <row r="171">
      <c r="A171" s="272">
        <v>56.0</v>
      </c>
      <c r="B171" s="272">
        <v>56.0</v>
      </c>
      <c r="C171" s="353">
        <v>12.0</v>
      </c>
      <c r="D171" s="273" t="s">
        <v>1405</v>
      </c>
      <c r="E171" s="304" t="s">
        <v>466</v>
      </c>
      <c r="F171" s="303" t="s">
        <v>1355</v>
      </c>
      <c r="G171" s="351" t="s">
        <v>35</v>
      </c>
      <c r="H171" s="352" t="e">
        <v>#N/A</v>
      </c>
    </row>
    <row r="172" hidden="1">
      <c r="A172" s="272">
        <v>453.0</v>
      </c>
      <c r="B172" s="272">
        <v>453.0</v>
      </c>
      <c r="C172" s="348">
        <v>168.0</v>
      </c>
      <c r="D172" s="273" t="str">
        <f>IFERROR(__xludf.DUMMYFUNCTION("if(B172&lt;=999,if(B172&lt;=99,IF(B172&lt;=9,join(,""000"",B172),join(,""00"",B172)),join(,""0"",B172)),B172)"),"0453")</f>
        <v>0453</v>
      </c>
      <c r="E172" s="274" t="s">
        <v>431</v>
      </c>
      <c r="F172" s="263" t="str">
        <f>vlookup(B172,'Geotagging Master All-Training '!$A$2:$C$2474,2,false)</f>
        <v>#N/A</v>
      </c>
      <c r="G172" s="351" t="s">
        <v>20</v>
      </c>
      <c r="H172" s="352">
        <v>80.0</v>
      </c>
    </row>
    <row r="173" hidden="1">
      <c r="A173" s="258">
        <v>1060.0</v>
      </c>
      <c r="B173" s="258">
        <v>1060.0</v>
      </c>
      <c r="C173" s="348">
        <v>169.0</v>
      </c>
      <c r="D173" s="260">
        <f>IFERROR(__xludf.DUMMYFUNCTION("if(B173&lt;=999,if(B173&lt;=99,IF(B173&lt;=9,join(,""000"",B173),join(,""00"",B173)),join(,""0"",B173)),B173)"),1060.0)</f>
        <v>1060</v>
      </c>
      <c r="E173" s="262" t="s">
        <v>433</v>
      </c>
      <c r="F173" s="263" t="str">
        <f>vlookup(B173,'Geotagging Master All-Training '!$A$2:$C$2474,2,false)</f>
        <v>#N/A</v>
      </c>
      <c r="G173" s="349" t="s">
        <v>20</v>
      </c>
      <c r="H173" s="350">
        <v>9030.0</v>
      </c>
    </row>
    <row r="174" hidden="1">
      <c r="A174" s="258">
        <v>1092.0</v>
      </c>
      <c r="B174" s="258">
        <v>1092.0</v>
      </c>
      <c r="C174" s="348">
        <v>170.0</v>
      </c>
      <c r="D174" s="260">
        <f>IFERROR(__xludf.DUMMYFUNCTION("if(B174&lt;=999,if(B174&lt;=99,IF(B174&lt;=9,join(,""000"",B174),join(,""00"",B174)),join(,""0"",B174)),B174)"),1092.0)</f>
        <v>1092</v>
      </c>
      <c r="E174" s="262" t="s">
        <v>436</v>
      </c>
      <c r="F174" s="263" t="str">
        <f>vlookup(B174,'Geotagging Master All-Training '!$A$2:$C$2474,2,false)</f>
        <v>#N/A</v>
      </c>
      <c r="G174" s="349" t="s">
        <v>20</v>
      </c>
      <c r="H174" s="350">
        <v>9030.0</v>
      </c>
    </row>
    <row r="175" hidden="1">
      <c r="A175" s="258">
        <v>215.0</v>
      </c>
      <c r="B175" s="258">
        <v>215.0</v>
      </c>
      <c r="C175" s="348">
        <v>171.0</v>
      </c>
      <c r="D175" s="260" t="str">
        <f>IFERROR(__xludf.DUMMYFUNCTION("if(B175&lt;=999,if(B175&lt;=99,IF(B175&lt;=9,join(,""000"",B175),join(,""00"",B175)),join(,""0"",B175)),B175)"),"0215")</f>
        <v>0215</v>
      </c>
      <c r="E175" s="262" t="s">
        <v>437</v>
      </c>
      <c r="F175" s="263" t="str">
        <f>vlookup(B175,'Geotagging Master All-Training '!$A$2:$C$2474,2,false)</f>
        <v>#N/A</v>
      </c>
      <c r="G175" s="349" t="s">
        <v>20</v>
      </c>
      <c r="H175" s="350" t="s">
        <v>439</v>
      </c>
    </row>
    <row r="176" hidden="1">
      <c r="A176" s="258">
        <v>691.0</v>
      </c>
      <c r="B176" s="259">
        <v>691.0</v>
      </c>
      <c r="C176" s="348">
        <v>172.0</v>
      </c>
      <c r="D176" s="260" t="str">
        <f>IFERROR(__xludf.DUMMYFUNCTION("if(B176&lt;=999,if(B176&lt;=99,IF(B176&lt;=9,join(,""000"",B176),join(,""00"",B176)),join(,""0"",B176)),B176)"),"0691")</f>
        <v>0691</v>
      </c>
      <c r="E176" s="262" t="s">
        <v>441</v>
      </c>
      <c r="F176" s="263" t="str">
        <f>vlookup(B176,'Geotagging Master All-Training '!$A$2:$C$2474,2,false)</f>
        <v>#N/A</v>
      </c>
      <c r="G176" s="349" t="s">
        <v>20</v>
      </c>
      <c r="H176" s="350" t="s">
        <v>443</v>
      </c>
    </row>
    <row r="177" hidden="1">
      <c r="A177" s="258">
        <v>1251.0</v>
      </c>
      <c r="B177" s="258">
        <v>1251.0</v>
      </c>
      <c r="C177" s="348">
        <v>173.0</v>
      </c>
      <c r="D177" s="260">
        <f>IFERROR(__xludf.DUMMYFUNCTION("if(B177&lt;=999,if(B177&lt;=99,IF(B177&lt;=9,join(,""000"",B177),join(,""00"",B177)),join(,""0"",B177)),B177)"),1251.0)</f>
        <v>1251</v>
      </c>
      <c r="E177" s="262" t="s">
        <v>446</v>
      </c>
      <c r="F177" s="263" t="str">
        <f>vlookup(B177,'Geotagging Master All-Training '!$A$2:$C$2474,2,false)</f>
        <v>#N/A</v>
      </c>
      <c r="G177" s="349" t="s">
        <v>20</v>
      </c>
      <c r="H177" s="350">
        <v>80.0</v>
      </c>
    </row>
    <row r="178">
      <c r="A178" s="272">
        <v>1054.0</v>
      </c>
      <c r="B178" s="272">
        <v>1054.0</v>
      </c>
      <c r="C178" s="353">
        <v>13.0</v>
      </c>
      <c r="D178" s="273">
        <v>1054.0</v>
      </c>
      <c r="E178" s="304" t="s">
        <v>463</v>
      </c>
      <c r="F178" s="303" t="s">
        <v>1355</v>
      </c>
      <c r="G178" s="351" t="s">
        <v>35</v>
      </c>
      <c r="H178" s="352" t="e">
        <v>#N/A</v>
      </c>
    </row>
    <row r="179" hidden="1">
      <c r="A179" s="258">
        <v>910.0</v>
      </c>
      <c r="B179" s="258">
        <v>910.0</v>
      </c>
      <c r="C179" s="348">
        <v>175.0</v>
      </c>
      <c r="D179" s="260" t="str">
        <f>IFERROR(__xludf.DUMMYFUNCTION("if(B179&lt;=999,if(B179&lt;=99,IF(B179&lt;=9,join(,""000"",B179),join(,""00"",B179)),join(,""0"",B179)),B179)"),"0910")</f>
        <v>0910</v>
      </c>
      <c r="E179" s="262" t="s">
        <v>452</v>
      </c>
      <c r="F179" s="263" t="str">
        <f>vlookup(B179,'Geotagging Master All-Training '!$A$2:$C$2474,2,false)</f>
        <v>#N/A</v>
      </c>
      <c r="G179" s="349" t="s">
        <v>20</v>
      </c>
      <c r="H179" s="350" t="s">
        <v>453</v>
      </c>
    </row>
    <row r="180" hidden="1">
      <c r="A180" s="258">
        <v>346.0</v>
      </c>
      <c r="B180" s="259">
        <v>346.0</v>
      </c>
      <c r="C180" s="348">
        <v>176.0</v>
      </c>
      <c r="D180" s="260" t="str">
        <f>IFERROR(__xludf.DUMMYFUNCTION("if(B180&lt;=999,if(B180&lt;=99,IF(B180&lt;=9,join(,""000"",B180),join(,""00"",B180)),join(,""0"",B180)),B180)"),"0346")</f>
        <v>0346</v>
      </c>
      <c r="E180" s="270" t="s">
        <v>455</v>
      </c>
      <c r="F180" s="263" t="str">
        <f>vlookup(B180,'Geotagging Master All-Training '!$A$2:$C$2474,2,false)</f>
        <v>#N/A</v>
      </c>
      <c r="G180" s="349" t="s">
        <v>20</v>
      </c>
      <c r="H180" s="350">
        <v>8000.0</v>
      </c>
    </row>
    <row r="181" hidden="1">
      <c r="A181" s="258">
        <v>537.0</v>
      </c>
      <c r="B181" s="258">
        <v>537.0</v>
      </c>
      <c r="C181" s="348">
        <v>177.0</v>
      </c>
      <c r="D181" s="260" t="str">
        <f>IFERROR(__xludf.DUMMYFUNCTION("if(B181&lt;=999,if(B181&lt;=99,IF(B181&lt;=9,join(,""000"",B181),join(,""00"",B181)),join(,""0"",B181)),B181)"),"0537")</f>
        <v>0537</v>
      </c>
      <c r="E181" s="262" t="s">
        <v>456</v>
      </c>
      <c r="F181" s="263" t="str">
        <f>vlookup(B181,'Geotagging Master All-Training '!$A$2:$C$2474,2,false)</f>
        <v>#N/A</v>
      </c>
      <c r="G181" s="349" t="s">
        <v>20</v>
      </c>
      <c r="H181" s="350" t="s">
        <v>458</v>
      </c>
    </row>
    <row r="182" hidden="1">
      <c r="A182" s="258">
        <v>1274.0</v>
      </c>
      <c r="B182" s="258">
        <v>1274.0</v>
      </c>
      <c r="C182" s="348">
        <v>178.0</v>
      </c>
      <c r="D182" s="260">
        <f>IFERROR(__xludf.DUMMYFUNCTION("if(B182&lt;=999,if(B182&lt;=99,IF(B182&lt;=9,join(,""000"",B182),join(,""00"",B182)),join(,""0"",B182)),B182)"),1274.0)</f>
        <v>1274</v>
      </c>
      <c r="E182" s="262" t="s">
        <v>459</v>
      </c>
      <c r="F182" s="263" t="str">
        <f>vlookup(B182,'Geotagging Master All-Training '!$A$2:$C$2474,2,false)</f>
        <v>#N/A</v>
      </c>
      <c r="G182" s="349" t="s">
        <v>20</v>
      </c>
      <c r="H182" s="350">
        <v>81.0</v>
      </c>
    </row>
    <row r="183" hidden="1">
      <c r="A183" s="258">
        <v>1268.0</v>
      </c>
      <c r="B183" s="259">
        <v>1268.0</v>
      </c>
      <c r="C183" s="348">
        <v>179.0</v>
      </c>
      <c r="D183" s="260">
        <f>IFERROR(__xludf.DUMMYFUNCTION("if(B183&lt;=999,if(B183&lt;=99,IF(B183&lt;=9,join(,""000"",B183),join(,""00"",B183)),join(,""0"",B183)),B183)"),1268.0)</f>
        <v>1268</v>
      </c>
      <c r="E183" s="262" t="s">
        <v>460</v>
      </c>
      <c r="F183" s="263" t="str">
        <f>vlookup(B183,'Geotagging Master All-Training '!$A$2:$C$2474,2,false)</f>
        <v>#N/A</v>
      </c>
      <c r="G183" s="349" t="s">
        <v>20</v>
      </c>
      <c r="H183" s="350">
        <v>81.0</v>
      </c>
    </row>
    <row r="184" hidden="1">
      <c r="A184" s="258">
        <v>808.0</v>
      </c>
      <c r="B184" s="258">
        <v>808.0</v>
      </c>
      <c r="C184" s="348">
        <v>180.0</v>
      </c>
      <c r="D184" s="260" t="str">
        <f>IFERROR(__xludf.DUMMYFUNCTION("if(B184&lt;=999,if(B184&lt;=99,IF(B184&lt;=9,join(,""000"",B184),join(,""00"",B184)),join(,""0"",B184)),B184)"),"0808")</f>
        <v>0808</v>
      </c>
      <c r="E184" s="270" t="s">
        <v>718</v>
      </c>
      <c r="F184" s="263" t="str">
        <f>vlookup(B184,'Geotagging Master All-Training '!$A$2:$C$2474,2,false)</f>
        <v>#N/A</v>
      </c>
      <c r="G184" s="349" t="s">
        <v>20</v>
      </c>
      <c r="H184" s="350">
        <v>16.0</v>
      </c>
    </row>
    <row r="185">
      <c r="A185" s="272">
        <v>1215.0</v>
      </c>
      <c r="B185" s="272">
        <v>1215.0</v>
      </c>
      <c r="C185" s="353">
        <v>14.0</v>
      </c>
      <c r="D185" s="273">
        <v>1215.0</v>
      </c>
      <c r="E185" s="304" t="s">
        <v>464</v>
      </c>
      <c r="F185" s="303" t="s">
        <v>1355</v>
      </c>
      <c r="G185" s="351" t="s">
        <v>35</v>
      </c>
      <c r="H185" s="352" t="e">
        <v>#N/A</v>
      </c>
    </row>
    <row r="186">
      <c r="A186" s="272">
        <v>123.0</v>
      </c>
      <c r="B186" s="272">
        <v>123.0</v>
      </c>
      <c r="C186" s="353">
        <v>15.0</v>
      </c>
      <c r="D186" s="273" t="s">
        <v>1406</v>
      </c>
      <c r="E186" s="304" t="s">
        <v>465</v>
      </c>
      <c r="F186" s="303" t="s">
        <v>1355</v>
      </c>
      <c r="G186" s="351" t="s">
        <v>35</v>
      </c>
      <c r="H186" s="352" t="e">
        <v>#N/A</v>
      </c>
    </row>
    <row r="187">
      <c r="A187" s="272">
        <v>1322.0</v>
      </c>
      <c r="B187" s="272">
        <v>1322.0</v>
      </c>
      <c r="C187" s="353">
        <v>16.0</v>
      </c>
      <c r="D187" s="273">
        <v>1322.0</v>
      </c>
      <c r="E187" s="304" t="s">
        <v>544</v>
      </c>
      <c r="F187" s="303" t="s">
        <v>1356</v>
      </c>
      <c r="G187" s="351" t="s">
        <v>35</v>
      </c>
      <c r="H187" s="352" t="e">
        <v>#N/A</v>
      </c>
    </row>
    <row r="188" hidden="1">
      <c r="A188" s="258">
        <v>35.0</v>
      </c>
      <c r="B188" s="258">
        <v>35.0</v>
      </c>
      <c r="C188" s="348">
        <v>184.0</v>
      </c>
      <c r="D188" s="260" t="str">
        <f>IFERROR(__xludf.DUMMYFUNCTION("if(B188&lt;=999,if(B188&lt;=99,IF(B188&lt;=9,join(,""000"",B188),join(,""00"",B188)),join(,""0"",B188)),B188)"),"0035")</f>
        <v>0035</v>
      </c>
      <c r="E188" s="262" t="s">
        <v>730</v>
      </c>
      <c r="F188" s="263" t="str">
        <f>vlookup(B188,'Geotagging Master All-Training '!$A$2:$C$2474,2,false)</f>
        <v>#N/A</v>
      </c>
      <c r="G188" s="349" t="s">
        <v>20</v>
      </c>
      <c r="H188" s="350">
        <v>20.0</v>
      </c>
    </row>
    <row r="189" hidden="1">
      <c r="A189" s="258">
        <v>1409.0</v>
      </c>
      <c r="B189" s="258">
        <v>1409.0</v>
      </c>
      <c r="C189" s="348">
        <v>185.0</v>
      </c>
      <c r="D189" s="260">
        <f>IFERROR(__xludf.DUMMYFUNCTION("if(B189&lt;=999,if(B189&lt;=99,IF(B189&lt;=9,join(,""000"",B189),join(,""00"",B189)),join(,""0"",B189)),B189)"),1409.0)</f>
        <v>1409</v>
      </c>
      <c r="E189" s="262" t="s">
        <v>467</v>
      </c>
      <c r="F189" s="263" t="str">
        <f>vlookup(B189,'Geotagging Master All-Training '!$A$2:$C$2474,2,false)</f>
        <v>#N/A</v>
      </c>
      <c r="G189" s="349" t="s">
        <v>20</v>
      </c>
      <c r="H189" s="350" t="s">
        <v>469</v>
      </c>
    </row>
    <row r="190" hidden="1">
      <c r="A190" s="258">
        <v>1275.0</v>
      </c>
      <c r="B190" s="259">
        <v>1275.0</v>
      </c>
      <c r="C190" s="348">
        <v>186.0</v>
      </c>
      <c r="D190" s="260">
        <f>IFERROR(__xludf.DUMMYFUNCTION("if(B190&lt;=999,if(B190&lt;=99,IF(B190&lt;=9,join(,""000"",B190),join(,""00"",B190)),join(,""0"",B190)),B190)"),1275.0)</f>
        <v>1275</v>
      </c>
      <c r="E190" s="270" t="s">
        <v>473</v>
      </c>
      <c r="F190" s="263" t="str">
        <f>vlookup(B190,'Geotagging Master All-Training '!$A$2:$C$2474,2,false)</f>
        <v>#N/A</v>
      </c>
      <c r="G190" s="349" t="s">
        <v>20</v>
      </c>
      <c r="H190" s="350"/>
    </row>
    <row r="191" hidden="1">
      <c r="A191" s="258">
        <v>1289.0</v>
      </c>
      <c r="B191" s="259">
        <v>1289.0</v>
      </c>
      <c r="C191" s="348">
        <v>187.0</v>
      </c>
      <c r="D191" s="260">
        <f>IFERROR(__xludf.DUMMYFUNCTION("if(B191&lt;=999,if(B191&lt;=99,IF(B191&lt;=9,join(,""000"",B191),join(,""00"",B191)),join(,""0"",B191)),B191)"),1289.0)</f>
        <v>1289</v>
      </c>
      <c r="E191" s="270" t="s">
        <v>474</v>
      </c>
      <c r="F191" s="263" t="str">
        <f>vlookup(B191,'Geotagging Master All-Training '!$A$2:$C$2474,2,false)</f>
        <v>#N/A</v>
      </c>
      <c r="G191" s="349" t="s">
        <v>20</v>
      </c>
      <c r="H191" s="350">
        <v>2.0</v>
      </c>
    </row>
    <row r="192" hidden="1">
      <c r="A192" s="258">
        <v>1238.0</v>
      </c>
      <c r="B192" s="258">
        <v>1238.0</v>
      </c>
      <c r="C192" s="348">
        <v>188.0</v>
      </c>
      <c r="D192" s="260">
        <f>IFERROR(__xludf.DUMMYFUNCTION("if(B192&lt;=999,if(B192&lt;=99,IF(B192&lt;=9,join(,""000"",B192),join(,""00"",B192)),join(,""0"",B192)),B192)"),1238.0)</f>
        <v>1238</v>
      </c>
      <c r="E192" s="270" t="s">
        <v>476</v>
      </c>
      <c r="F192" s="263" t="str">
        <f>vlookup(B192,'Geotagging Master All-Training '!$A$2:$C$2474,2,false)</f>
        <v>#N/A</v>
      </c>
      <c r="G192" s="349" t="s">
        <v>20</v>
      </c>
      <c r="H192" s="350">
        <v>7000.0</v>
      </c>
    </row>
    <row r="193" hidden="1">
      <c r="A193" s="272">
        <v>1041.0</v>
      </c>
      <c r="B193" s="272">
        <v>1041.0</v>
      </c>
      <c r="C193" s="348">
        <v>189.0</v>
      </c>
      <c r="D193" s="314">
        <f>IFERROR(__xludf.DUMMYFUNCTION("if(B193&lt;=999,if(B193&lt;=99,IF(B193&lt;=9,join(,""000"",B193),join(,""00"",B193)),join(,""0"",B193)),B193)"),1041.0)</f>
        <v>1041</v>
      </c>
      <c r="E193" s="274" t="s">
        <v>477</v>
      </c>
      <c r="F193" s="263" t="str">
        <f>vlookup(B193,'Geotagging Master All-Training '!$A$2:$C$2474,2,false)</f>
        <v>#N/A</v>
      </c>
      <c r="G193" s="351" t="s">
        <v>20</v>
      </c>
      <c r="H193" s="352">
        <v>25001.0</v>
      </c>
    </row>
    <row r="194" hidden="1">
      <c r="A194" s="258">
        <v>1442.0</v>
      </c>
      <c r="B194" s="259">
        <v>1442.0</v>
      </c>
      <c r="C194" s="348">
        <v>190.0</v>
      </c>
      <c r="D194" s="260">
        <f>IFERROR(__xludf.DUMMYFUNCTION("if(B194&lt;=999,if(B194&lt;=99,IF(B194&lt;=9,join(,""000"",B194),join(,""00"",B194)),join(,""0"",B194)),B194)"),1442.0)</f>
        <v>1442</v>
      </c>
      <c r="E194" s="270" t="s">
        <v>479</v>
      </c>
      <c r="F194" s="263" t="str">
        <f>vlookup(B194,'Geotagging Master All-Training '!$A$2:$C$2474,2,false)</f>
        <v>#N/A</v>
      </c>
      <c r="G194" s="349" t="s">
        <v>20</v>
      </c>
      <c r="H194" s="350">
        <v>32.0</v>
      </c>
    </row>
    <row r="195" hidden="1">
      <c r="A195" s="258">
        <v>1342.0</v>
      </c>
      <c r="B195" s="258">
        <v>1342.0</v>
      </c>
      <c r="C195" s="348">
        <v>191.0</v>
      </c>
      <c r="D195" s="260">
        <f>IFERROR(__xludf.DUMMYFUNCTION("if(B195&lt;=999,if(B195&lt;=99,IF(B195&lt;=9,join(,""000"",B195),join(,""00"",B195)),join(,""0"",B195)),B195)"),1342.0)</f>
        <v>1342</v>
      </c>
      <c r="E195" s="262" t="s">
        <v>482</v>
      </c>
      <c r="F195" s="263" t="str">
        <f>vlookup(B195,'Geotagging Master All-Training '!$A$2:$C$2474,2,false)</f>
        <v>#N/A</v>
      </c>
      <c r="G195" s="349" t="s">
        <v>20</v>
      </c>
      <c r="H195" s="350" t="s">
        <v>484</v>
      </c>
    </row>
    <row r="196" hidden="1">
      <c r="A196" s="258">
        <v>1102.0</v>
      </c>
      <c r="B196" s="258">
        <v>1102.0</v>
      </c>
      <c r="C196" s="348">
        <v>192.0</v>
      </c>
      <c r="D196" s="260">
        <f>IFERROR(__xludf.DUMMYFUNCTION("if(B196&lt;=999,if(B196&lt;=99,IF(B196&lt;=9,join(,""000"",B196),join(,""00"",B196)),join(,""0"",B196)),B196)"),1102.0)</f>
        <v>1102</v>
      </c>
      <c r="E196" s="262" t="s">
        <v>486</v>
      </c>
      <c r="F196" s="263" t="str">
        <f>vlookup(B196,'Geotagging Master All-Training '!$A$2:$C$2474,2,false)</f>
        <v>#N/A</v>
      </c>
      <c r="G196" s="349" t="s">
        <v>20</v>
      </c>
      <c r="H196" s="350">
        <v>80.0</v>
      </c>
    </row>
    <row r="197" hidden="1">
      <c r="A197" s="258">
        <v>1199.0</v>
      </c>
      <c r="B197" s="258">
        <v>1199.0</v>
      </c>
      <c r="C197" s="348">
        <v>193.0</v>
      </c>
      <c r="D197" s="260">
        <f>IFERROR(__xludf.DUMMYFUNCTION("if(B197&lt;=999,if(B197&lt;=99,IF(B197&lt;=9,join(,""000"",B197),join(,""00"",B197)),join(,""0"",B197)),B197)"),1199.0)</f>
        <v>1199</v>
      </c>
      <c r="E197" s="270" t="s">
        <v>489</v>
      </c>
      <c r="F197" s="263" t="str">
        <f>vlookup(B197,'Geotagging Master All-Training '!$A$2:$C$2474,2,false)</f>
        <v>#N/A</v>
      </c>
      <c r="G197" s="349" t="s">
        <v>20</v>
      </c>
      <c r="H197" s="350">
        <v>25.0</v>
      </c>
    </row>
    <row r="198" hidden="1">
      <c r="A198" s="258">
        <v>1378.0</v>
      </c>
      <c r="B198" s="258">
        <v>1378.0</v>
      </c>
      <c r="C198" s="348">
        <v>194.0</v>
      </c>
      <c r="D198" s="260">
        <f>IFERROR(__xludf.DUMMYFUNCTION("if(B198&lt;=999,if(B198&lt;=99,IF(B198&lt;=9,join(,""000"",B198),join(,""00"",B198)),join(,""0"",B198)),B198)"),1378.0)</f>
        <v>1378</v>
      </c>
      <c r="E198" s="270" t="s">
        <v>490</v>
      </c>
      <c r="F198" s="263" t="str">
        <f>vlookup(B198,'Geotagging Master All-Training '!$A$2:$C$2474,2,false)</f>
        <v>#N/A</v>
      </c>
      <c r="G198" s="349" t="s">
        <v>20</v>
      </c>
      <c r="H198" s="350" t="e">
        <v>#N/A</v>
      </c>
    </row>
    <row r="199" hidden="1">
      <c r="A199" s="258">
        <v>1283.0</v>
      </c>
      <c r="B199" s="258">
        <v>1283.0</v>
      </c>
      <c r="C199" s="348">
        <v>195.0</v>
      </c>
      <c r="D199" s="260">
        <f>IFERROR(__xludf.DUMMYFUNCTION("if(B199&lt;=999,if(B199&lt;=99,IF(B199&lt;=9,join(,""000"",B199),join(,""00"",B199)),join(,""0"",B199)),B199)"),1283.0)</f>
        <v>1283</v>
      </c>
      <c r="E199" s="270" t="s">
        <v>491</v>
      </c>
      <c r="F199" s="263" t="str">
        <f>vlookup(B199,'Geotagging Master All-Training '!$A$2:$C$2474,2,false)</f>
        <v>#N/A</v>
      </c>
      <c r="G199" s="349" t="s">
        <v>20</v>
      </c>
      <c r="H199" s="350">
        <v>25001.0</v>
      </c>
    </row>
    <row r="200" hidden="1">
      <c r="A200" s="258">
        <v>602.0</v>
      </c>
      <c r="B200" s="258">
        <v>602.0</v>
      </c>
      <c r="C200" s="348">
        <v>196.0</v>
      </c>
      <c r="D200" s="260" t="str">
        <f>IFERROR(__xludf.DUMMYFUNCTION("if(B200&lt;=999,if(B200&lt;=99,IF(B200&lt;=9,join(,""000"",B200),join(,""00"",B200)),join(,""0"",B200)),B200)"),"0602")</f>
        <v>0602</v>
      </c>
      <c r="E200" s="270" t="s">
        <v>492</v>
      </c>
      <c r="F200" s="263" t="str">
        <f>vlookup(B200,'Geotagging Master All-Training '!$A$2:$C$2474,2,false)</f>
        <v>#N/A</v>
      </c>
      <c r="G200" s="349" t="s">
        <v>20</v>
      </c>
      <c r="H200" s="350" t="e">
        <v>#N/A</v>
      </c>
    </row>
    <row r="201" hidden="1">
      <c r="A201" s="258">
        <v>1292.0</v>
      </c>
      <c r="B201" s="258">
        <v>1292.0</v>
      </c>
      <c r="C201" s="348">
        <v>197.0</v>
      </c>
      <c r="D201" s="260">
        <f>IFERROR(__xludf.DUMMYFUNCTION("if(B201&lt;=999,if(B201&lt;=99,IF(B201&lt;=9,join(,""000"",B201),join(,""00"",B201)),join(,""0"",B201)),B201)"),1292.0)</f>
        <v>1292</v>
      </c>
      <c r="E201" s="270" t="s">
        <v>493</v>
      </c>
      <c r="F201" s="263" t="str">
        <f>vlookup(B201,'Geotagging Master All-Training '!$A$2:$C$2474,2,false)</f>
        <v>#N/A</v>
      </c>
      <c r="G201" s="349" t="s">
        <v>20</v>
      </c>
      <c r="H201" s="350">
        <v>25001.0</v>
      </c>
    </row>
    <row r="202" hidden="1">
      <c r="A202" s="258">
        <v>83.0</v>
      </c>
      <c r="B202" s="258">
        <v>83.0</v>
      </c>
      <c r="C202" s="348">
        <v>198.0</v>
      </c>
      <c r="D202" s="260" t="str">
        <f>IFERROR(__xludf.DUMMYFUNCTION("if(B202&lt;=999,if(B202&lt;=99,IF(B202&lt;=9,join(,""000"",B202),join(,""00"",B202)),join(,""0"",B202)),B202)"),"0083")</f>
        <v>0083</v>
      </c>
      <c r="E202" s="270" t="s">
        <v>852</v>
      </c>
      <c r="F202" s="263" t="str">
        <f>vlookup(B202,'Geotagging Master All-Training '!$A$2:$C$2474,2,false)</f>
        <v>#N/A</v>
      </c>
      <c r="G202" s="349" t="s">
        <v>20</v>
      </c>
      <c r="H202" s="350">
        <v>16.0</v>
      </c>
    </row>
    <row r="203" hidden="1">
      <c r="A203" s="258">
        <v>810.0</v>
      </c>
      <c r="B203" s="259">
        <v>810.0</v>
      </c>
      <c r="C203" s="348">
        <v>199.0</v>
      </c>
      <c r="D203" s="260" t="str">
        <f>IFERROR(__xludf.DUMMYFUNCTION("if(B203&lt;=999,if(B203&lt;=99,IF(B203&lt;=9,join(,""000"",B203),join(,""00"",B203)),join(,""0"",B203)),B203)"),"0810")</f>
        <v>0810</v>
      </c>
      <c r="E203" s="270" t="s">
        <v>497</v>
      </c>
      <c r="F203" s="263" t="str">
        <f>vlookup(B203,'Geotagging Master All-Training '!$A$2:$C$2474,2,false)</f>
        <v>#N/A</v>
      </c>
      <c r="G203" s="349" t="s">
        <v>20</v>
      </c>
      <c r="H203" s="350"/>
    </row>
    <row r="204" hidden="1">
      <c r="A204" s="258">
        <v>1212.0</v>
      </c>
      <c r="B204" s="258">
        <v>1212.0</v>
      </c>
      <c r="C204" s="348">
        <v>200.0</v>
      </c>
      <c r="D204" s="260">
        <f>IFERROR(__xludf.DUMMYFUNCTION("if(B204&lt;=999,if(B204&lt;=99,IF(B204&lt;=9,join(,""000"",B204),join(,""00"",B204)),join(,""0"",B204)),B204)"),1212.0)</f>
        <v>1212</v>
      </c>
      <c r="E204" s="270" t="s">
        <v>499</v>
      </c>
      <c r="F204" s="263" t="str">
        <f>vlookup(B204,'Geotagging Master All-Training '!$A$2:$C$2474,2,false)</f>
        <v>#N/A</v>
      </c>
      <c r="G204" s="349" t="s">
        <v>20</v>
      </c>
      <c r="H204" s="350">
        <v>16160.0</v>
      </c>
    </row>
    <row r="205" hidden="1">
      <c r="A205" s="258">
        <v>1372.0</v>
      </c>
      <c r="B205" s="258">
        <v>1372.0</v>
      </c>
      <c r="C205" s="348">
        <v>201.0</v>
      </c>
      <c r="D205" s="260">
        <f>IFERROR(__xludf.DUMMYFUNCTION("if(B205&lt;=999,if(B205&lt;=99,IF(B205&lt;=9,join(,""000"",B205),join(,""00"",B205)),join(,""0"",B205)),B205)"),1372.0)</f>
        <v>1372</v>
      </c>
      <c r="E205" s="270" t="s">
        <v>502</v>
      </c>
      <c r="F205" s="263" t="str">
        <f>vlookup(B205,'Geotagging Master All-Training '!$A$2:$C$2474,2,false)</f>
        <v>#N/A</v>
      </c>
      <c r="G205" s="349" t="s">
        <v>20</v>
      </c>
      <c r="H205" s="350" t="s">
        <v>504</v>
      </c>
    </row>
    <row r="206" hidden="1">
      <c r="A206" s="258">
        <v>1412.0</v>
      </c>
      <c r="B206" s="258">
        <v>1412.0</v>
      </c>
      <c r="C206" s="348">
        <v>202.0</v>
      </c>
      <c r="D206" s="260">
        <f>IFERROR(__xludf.DUMMYFUNCTION("if(B206&lt;=999,if(B206&lt;=99,IF(B206&lt;=9,join(,""000"",B206),join(,""00"",B206)),join(,""0"",B206)),B206)"),1412.0)</f>
        <v>1412</v>
      </c>
      <c r="E206" s="262" t="s">
        <v>505</v>
      </c>
      <c r="F206" s="263" t="str">
        <f>vlookup(B206,'Geotagging Master All-Training '!$A$2:$C$2474,2,false)</f>
        <v>#N/A</v>
      </c>
      <c r="G206" s="349" t="s">
        <v>20</v>
      </c>
      <c r="H206" s="350" t="e">
        <v>#N/A</v>
      </c>
    </row>
    <row r="207" hidden="1">
      <c r="A207" s="258">
        <v>521.0</v>
      </c>
      <c r="B207" s="258">
        <v>521.0</v>
      </c>
      <c r="C207" s="348">
        <v>203.0</v>
      </c>
      <c r="D207" s="260" t="str">
        <f>IFERROR(__xludf.DUMMYFUNCTION("if(B207&lt;=999,if(B207&lt;=99,IF(B207&lt;=9,join(,""000"",B207),join(,""00"",B207)),join(,""0"",B207)),B207)"),"0521")</f>
        <v>0521</v>
      </c>
      <c r="E207" s="270" t="s">
        <v>508</v>
      </c>
      <c r="F207" s="263" t="str">
        <f>vlookup(B207,'Geotagging Master All-Training '!$A$2:$C$2474,2,false)</f>
        <v>#N/A</v>
      </c>
      <c r="G207" s="349" t="s">
        <v>20</v>
      </c>
      <c r="H207" s="350">
        <v>16.0</v>
      </c>
    </row>
    <row r="208" hidden="1">
      <c r="A208" s="258">
        <v>1112.0</v>
      </c>
      <c r="B208" s="258">
        <v>1112.0</v>
      </c>
      <c r="C208" s="348">
        <v>204.0</v>
      </c>
      <c r="D208" s="260">
        <f>IFERROR(__xludf.DUMMYFUNCTION("if(B208&lt;=999,if(B208&lt;=99,IF(B208&lt;=9,join(,""000"",B208),join(,""00"",B208)),join(,""0"",B208)),B208)"),1112.0)</f>
        <v>1112</v>
      </c>
      <c r="E208" s="270" t="s">
        <v>510</v>
      </c>
      <c r="F208" s="263" t="str">
        <f>vlookup(B208,'Geotagging Master All-Training '!$A$2:$C$2474,2,false)</f>
        <v>#N/A</v>
      </c>
      <c r="G208" s="349" t="s">
        <v>20</v>
      </c>
      <c r="H208" s="350">
        <v>80.0</v>
      </c>
    </row>
    <row r="209" hidden="1">
      <c r="A209" s="258">
        <v>1206.0</v>
      </c>
      <c r="B209" s="258">
        <v>1206.0</v>
      </c>
      <c r="C209" s="348">
        <v>205.0</v>
      </c>
      <c r="D209" s="260">
        <f>IFERROR(__xludf.DUMMYFUNCTION("if(B209&lt;=999,if(B209&lt;=99,IF(B209&lt;=9,join(,""000"",B209),join(,""00"",B209)),join(,""0"",B209)),B209)"),1206.0)</f>
        <v>1206</v>
      </c>
      <c r="E209" s="262" t="s">
        <v>514</v>
      </c>
      <c r="F209" s="263" t="str">
        <f>vlookup(B209,'Geotagging Master All-Training '!$A$2:$C$2474,2,false)</f>
        <v>#N/A</v>
      </c>
      <c r="G209" s="349" t="s">
        <v>20</v>
      </c>
      <c r="H209" s="350" t="e">
        <v>#N/A</v>
      </c>
    </row>
    <row r="210" hidden="1">
      <c r="A210" s="258">
        <v>1397.0</v>
      </c>
      <c r="B210" s="259">
        <v>1397.0</v>
      </c>
      <c r="C210" s="348">
        <v>206.0</v>
      </c>
      <c r="D210" s="260">
        <f>IFERROR(__xludf.DUMMYFUNCTION("if(B210&lt;=999,if(B210&lt;=99,IF(B210&lt;=9,join(,""000"",B210),join(,""00"",B210)),join(,""0"",B210)),B210)"),1397.0)</f>
        <v>1397</v>
      </c>
      <c r="E210" s="262" t="s">
        <v>516</v>
      </c>
      <c r="F210" s="263" t="str">
        <f>vlookup(B210,'Geotagging Master All-Training '!$A$2:$C$2474,2,false)</f>
        <v>#N/A</v>
      </c>
      <c r="G210" s="349" t="s">
        <v>20</v>
      </c>
      <c r="H210" s="350" t="s">
        <v>244</v>
      </c>
    </row>
    <row r="211" hidden="1">
      <c r="A211" s="258">
        <v>806.0</v>
      </c>
      <c r="B211" s="259">
        <v>806.0</v>
      </c>
      <c r="C211" s="348">
        <v>207.0</v>
      </c>
      <c r="D211" s="260" t="str">
        <f>IFERROR(__xludf.DUMMYFUNCTION("if(B211&lt;=999,if(B211&lt;=99,IF(B211&lt;=9,join(,""000"",B211),join(,""00"",B211)),join(,""0"",B211)),B211)"),"0806")</f>
        <v>0806</v>
      </c>
      <c r="E211" s="270" t="s">
        <v>520</v>
      </c>
      <c r="F211" s="263" t="str">
        <f>vlookup(B211,'Geotagging Master All-Training '!$A$2:$C$2474,2,false)</f>
        <v>#N/A</v>
      </c>
      <c r="G211" s="349" t="s">
        <v>20</v>
      </c>
      <c r="H211" s="350" t="s">
        <v>522</v>
      </c>
    </row>
    <row r="212" hidden="1">
      <c r="A212" s="258">
        <v>1037.0</v>
      </c>
      <c r="B212" s="258">
        <v>1037.0</v>
      </c>
      <c r="C212" s="348">
        <v>208.0</v>
      </c>
      <c r="D212" s="260">
        <f>IFERROR(__xludf.DUMMYFUNCTION("if(B212&lt;=999,if(B212&lt;=99,IF(B212&lt;=9,join(,""000"",B212),join(,""00"",B212)),join(,""0"",B212)),B212)"),1037.0)</f>
        <v>1037</v>
      </c>
      <c r="E212" s="270" t="s">
        <v>525</v>
      </c>
      <c r="F212" s="263" t="str">
        <f>vlookup(B212,'Geotagging Master All-Training '!$A$2:$C$2474,2,false)</f>
        <v>#N/A</v>
      </c>
      <c r="G212" s="349" t="s">
        <v>20</v>
      </c>
      <c r="H212" s="350"/>
    </row>
    <row r="213" hidden="1">
      <c r="A213" s="272">
        <v>532.0</v>
      </c>
      <c r="B213" s="272">
        <v>532.0</v>
      </c>
      <c r="C213" s="348">
        <v>209.0</v>
      </c>
      <c r="D213" s="273" t="str">
        <f>IFERROR(__xludf.DUMMYFUNCTION("if(B213&lt;=999,if(B213&lt;=99,IF(B213&lt;=9,join(,""000"",B213),join(,""00"",B213)),join(,""0"",B213)),B213)"),"0532")</f>
        <v>0532</v>
      </c>
      <c r="E213" s="274" t="s">
        <v>526</v>
      </c>
      <c r="F213" s="263" t="str">
        <f>vlookup(B213,'Geotagging Master All-Training '!$A$2:$C$2474,2,false)</f>
        <v>#N/A</v>
      </c>
      <c r="G213" s="351" t="s">
        <v>20</v>
      </c>
      <c r="H213" s="352" t="e">
        <v>#N/A</v>
      </c>
    </row>
    <row r="214" hidden="1">
      <c r="A214" s="258">
        <v>32.0</v>
      </c>
      <c r="B214" s="258">
        <v>32.0</v>
      </c>
      <c r="C214" s="348">
        <v>210.0</v>
      </c>
      <c r="D214" s="260" t="str">
        <f>IFERROR(__xludf.DUMMYFUNCTION("if(B214&lt;=999,if(B214&lt;=99,IF(B214&lt;=9,join(,""000"",B214),join(,""00"",B214)),join(,""0"",B214)),B214)"),"0032")</f>
        <v>0032</v>
      </c>
      <c r="E214" s="262" t="s">
        <v>530</v>
      </c>
      <c r="F214" s="263" t="str">
        <f>vlookup(B214,'Geotagging Master All-Training '!$A$2:$C$2474,2,false)</f>
        <v>#N/A</v>
      </c>
      <c r="G214" s="349" t="s">
        <v>20</v>
      </c>
      <c r="H214" s="350"/>
    </row>
    <row r="215" hidden="1">
      <c r="A215" s="258">
        <v>177.0</v>
      </c>
      <c r="B215" s="258">
        <v>177.0</v>
      </c>
      <c r="C215" s="348">
        <v>211.0</v>
      </c>
      <c r="D215" s="260" t="str">
        <f>IFERROR(__xludf.DUMMYFUNCTION("if(B215&lt;=999,if(B215&lt;=99,IF(B215&lt;=9,join(,""000"",B215),join(,""00"",B215)),join(,""0"",B215)),B215)"),"0177")</f>
        <v>0177</v>
      </c>
      <c r="E215" s="262" t="s">
        <v>535</v>
      </c>
      <c r="F215" s="263" t="str">
        <f>vlookup(B215,'Geotagging Master All-Training '!$A$2:$C$2474,2,false)</f>
        <v>#N/A</v>
      </c>
      <c r="G215" s="349" t="s">
        <v>20</v>
      </c>
      <c r="H215" s="350" t="s">
        <v>537</v>
      </c>
    </row>
    <row r="216" hidden="1">
      <c r="A216" s="258">
        <v>1248.0</v>
      </c>
      <c r="B216" s="259">
        <v>1248.0</v>
      </c>
      <c r="C216" s="348">
        <v>212.0</v>
      </c>
      <c r="D216" s="260">
        <f>IFERROR(__xludf.DUMMYFUNCTION("if(B216&lt;=999,if(B216&lt;=99,IF(B216&lt;=9,join(,""000"",B216),join(,""00"",B216)),join(,""0"",B216)),B216)"),1248.0)</f>
        <v>1248</v>
      </c>
      <c r="E216" s="270" t="s">
        <v>538</v>
      </c>
      <c r="F216" s="263" t="str">
        <f>vlookup(B216,'Geotagging Master All-Training '!$A$2:$C$2474,2,false)</f>
        <v>#N/A</v>
      </c>
      <c r="G216" s="349" t="s">
        <v>20</v>
      </c>
      <c r="H216" s="350"/>
    </row>
    <row r="217" hidden="1">
      <c r="A217" s="258">
        <v>1458.0</v>
      </c>
      <c r="B217" s="258">
        <v>1458.0</v>
      </c>
      <c r="C217" s="348">
        <v>213.0</v>
      </c>
      <c r="D217" s="260">
        <f>IFERROR(__xludf.DUMMYFUNCTION("if(B217&lt;=999,if(B217&lt;=99,IF(B217&lt;=9,join(,""000"",B217),join(,""00"",B217)),join(,""0"",B217)),B217)"),1458.0)</f>
        <v>1458</v>
      </c>
      <c r="E217" s="270" t="s">
        <v>539</v>
      </c>
      <c r="F217" s="263" t="str">
        <f>vlookup(B217,'Geotagging Master All-Training '!$A$2:$C$2474,2,false)</f>
        <v>#N/A</v>
      </c>
      <c r="G217" s="349" t="s">
        <v>20</v>
      </c>
      <c r="H217" s="350"/>
    </row>
    <row r="218" hidden="1">
      <c r="A218" s="258">
        <v>1396.0</v>
      </c>
      <c r="B218" s="258">
        <v>1396.0</v>
      </c>
      <c r="C218" s="348">
        <v>214.0</v>
      </c>
      <c r="D218" s="260">
        <f>IFERROR(__xludf.DUMMYFUNCTION("if(B218&lt;=999,if(B218&lt;=99,IF(B218&lt;=9,join(,""000"",B218),join(,""00"",B218)),join(,""0"",B218)),B218)"),1396.0)</f>
        <v>1396</v>
      </c>
      <c r="E218" s="262" t="s">
        <v>540</v>
      </c>
      <c r="F218" s="263" t="str">
        <f>vlookup(B218,'Geotagging Master All-Training '!$A$2:$C$2474,2,false)</f>
        <v>#N/A</v>
      </c>
      <c r="G218" s="349" t="s">
        <v>20</v>
      </c>
      <c r="H218" s="350">
        <v>37777.0</v>
      </c>
    </row>
    <row r="219" hidden="1">
      <c r="A219" s="258">
        <v>1056.0</v>
      </c>
      <c r="B219" s="258">
        <v>1056.0</v>
      </c>
      <c r="C219" s="348">
        <v>215.0</v>
      </c>
      <c r="D219" s="260">
        <f>IFERROR(__xludf.DUMMYFUNCTION("if(B219&lt;=999,if(B219&lt;=99,IF(B219&lt;=9,join(,""000"",B219),join(,""00"",B219)),join(,""0"",B219)),B219)"),1056.0)</f>
        <v>1056</v>
      </c>
      <c r="E219" s="270" t="s">
        <v>543</v>
      </c>
      <c r="F219" s="263" t="str">
        <f>vlookup(B219,'Geotagging Master All-Training '!$A$2:$C$2474,2,false)</f>
        <v>#N/A</v>
      </c>
      <c r="G219" s="349" t="s">
        <v>20</v>
      </c>
      <c r="H219" s="350">
        <v>80.0</v>
      </c>
    </row>
    <row r="220" hidden="1">
      <c r="A220" s="272">
        <v>1366.0</v>
      </c>
      <c r="B220" s="272">
        <v>1366.0</v>
      </c>
      <c r="C220" s="353">
        <v>221.0</v>
      </c>
      <c r="D220" s="273">
        <f>IFERROR(__xludf.DUMMYFUNCTION("if(B220&lt;=999,if(B220&lt;=99,IF(B220&lt;=9,join(,""000"",B220),join(,""00"",B220)),join(,""0"",B220)),B220)"),1366.0)</f>
        <v>1366</v>
      </c>
      <c r="E220" s="304" t="s">
        <v>1078</v>
      </c>
      <c r="F220" s="303" t="str">
        <f>vlookup(B220,'Geotagging Master All-Training '!$A$2:$C$2474,2,false)</f>
        <v>#N/A</v>
      </c>
      <c r="G220" s="351" t="s">
        <v>20</v>
      </c>
      <c r="H220" s="352" t="s">
        <v>550</v>
      </c>
    </row>
    <row r="221" hidden="1">
      <c r="A221" s="258">
        <v>748.0</v>
      </c>
      <c r="B221" s="258">
        <v>748.0</v>
      </c>
      <c r="C221" s="348">
        <v>218.0</v>
      </c>
      <c r="D221" s="260" t="str">
        <f>IFERROR(__xludf.DUMMYFUNCTION("if(B221&lt;=999,if(B221&lt;=99,IF(B221&lt;=9,join(,""000"",B221),join(,""00"",B221)),join(,""0"",B221)),B221)"),"0748")</f>
        <v>0748</v>
      </c>
      <c r="E221" s="262" t="s">
        <v>546</v>
      </c>
      <c r="F221" s="263" t="str">
        <f>vlookup(B221,'Geotagging Master All-Training '!$A$2:$C$2474,2,false)</f>
        <v>#N/A</v>
      </c>
      <c r="G221" s="349" t="s">
        <v>20</v>
      </c>
      <c r="H221" s="350">
        <v>25001.0</v>
      </c>
    </row>
    <row r="222" hidden="1">
      <c r="A222" s="258">
        <v>117.0</v>
      </c>
      <c r="B222" s="259">
        <v>117.0</v>
      </c>
      <c r="C222" s="348">
        <v>219.0</v>
      </c>
      <c r="D222" s="260" t="str">
        <f>IFERROR(__xludf.DUMMYFUNCTION("if(B222&lt;=999,if(B222&lt;=99,IF(B222&lt;=9,join(,""000"",B222),join(,""00"",B222)),join(,""0"",B222)),B222)"),"0117")</f>
        <v>0117</v>
      </c>
      <c r="E222" s="262" t="s">
        <v>548</v>
      </c>
      <c r="F222" s="263" t="str">
        <f>vlookup(B222,'Geotagging Master All-Training '!$A$2:$C$2474,2,false)</f>
        <v>#N/A</v>
      </c>
      <c r="G222" s="349" t="s">
        <v>20</v>
      </c>
      <c r="H222" s="350" t="s">
        <v>550</v>
      </c>
    </row>
    <row r="223" hidden="1">
      <c r="A223" s="258">
        <v>1055.0</v>
      </c>
      <c r="B223" s="258">
        <v>1055.0</v>
      </c>
      <c r="C223" s="348">
        <v>220.0</v>
      </c>
      <c r="D223" s="260">
        <f>IFERROR(__xludf.DUMMYFUNCTION("if(B223&lt;=999,if(B223&lt;=99,IF(B223&lt;=9,join(,""000"",B223),join(,""00"",B223)),join(,""0"",B223)),B223)"),1055.0)</f>
        <v>1055</v>
      </c>
      <c r="E223" s="262" t="s">
        <v>551</v>
      </c>
      <c r="F223" s="263" t="str">
        <f>vlookup(B223,'Geotagging Master All-Training '!$A$2:$C$2474,2,false)</f>
        <v>#N/A</v>
      </c>
      <c r="G223" s="349" t="s">
        <v>20</v>
      </c>
      <c r="H223" s="350" t="s">
        <v>550</v>
      </c>
    </row>
    <row r="224">
      <c r="A224" s="272">
        <v>1017.0</v>
      </c>
      <c r="B224" s="272">
        <v>1017.0</v>
      </c>
      <c r="C224" s="353">
        <v>17.0</v>
      </c>
      <c r="D224" s="273">
        <v>1017.0</v>
      </c>
      <c r="E224" s="304" t="s">
        <v>1080</v>
      </c>
      <c r="F224" s="303" t="s">
        <v>1358</v>
      </c>
      <c r="G224" s="351" t="s">
        <v>35</v>
      </c>
      <c r="H224" s="352" t="s">
        <v>244</v>
      </c>
    </row>
    <row r="225" hidden="1">
      <c r="A225" s="258">
        <v>1149.0</v>
      </c>
      <c r="B225" s="258">
        <v>1149.0</v>
      </c>
      <c r="C225" s="348">
        <v>222.0</v>
      </c>
      <c r="D225" s="260">
        <f>IFERROR(__xludf.DUMMYFUNCTION("if(B225&lt;=999,if(B225&lt;=99,IF(B225&lt;=9,join(,""000"",B225),join(,""00"",B225)),join(,""0"",B225)),B225)"),1149.0)</f>
        <v>1149</v>
      </c>
      <c r="E225" s="270" t="s">
        <v>554</v>
      </c>
      <c r="F225" s="263" t="str">
        <f>vlookup(B225,'Geotagging Master All-Training '!$A$2:$C$2474,2,false)</f>
        <v>#N/A</v>
      </c>
      <c r="G225" s="349" t="s">
        <v>20</v>
      </c>
      <c r="H225" s="350"/>
    </row>
    <row r="226" hidden="1">
      <c r="A226" s="258">
        <v>1229.0</v>
      </c>
      <c r="B226" s="258">
        <v>1229.0</v>
      </c>
      <c r="C226" s="348">
        <v>223.0</v>
      </c>
      <c r="D226" s="260">
        <f>IFERROR(__xludf.DUMMYFUNCTION("if(B226&lt;=999,if(B226&lt;=99,IF(B226&lt;=9,join(,""000"",B226),join(,""00"",B226)),join(,""0"",B226)),B226)"),1229.0)</f>
        <v>1229</v>
      </c>
      <c r="E226" s="270" t="s">
        <v>555</v>
      </c>
      <c r="F226" s="263" t="str">
        <f>vlookup(B226,'Geotagging Master All-Training '!$A$2:$C$2474,2,false)</f>
        <v>#N/A</v>
      </c>
      <c r="G226" s="349" t="s">
        <v>20</v>
      </c>
      <c r="H226" s="350">
        <v>80.0</v>
      </c>
    </row>
    <row r="227" hidden="1">
      <c r="A227" s="258">
        <v>834.0</v>
      </c>
      <c r="B227" s="258">
        <v>834.0</v>
      </c>
      <c r="C227" s="348">
        <v>224.0</v>
      </c>
      <c r="D227" s="260" t="str">
        <f>IFERROR(__xludf.DUMMYFUNCTION("if(B227&lt;=999,if(B227&lt;=99,IF(B227&lt;=9,join(,""000"",B227),join(,""00"",B227)),join(,""0"",B227)),B227)"),"0834")</f>
        <v>0834</v>
      </c>
      <c r="E227" s="270" t="s">
        <v>558</v>
      </c>
      <c r="F227" s="263" t="str">
        <f>vlookup(B227,'Geotagging Master All-Training '!$A$2:$C$2474,2,false)</f>
        <v>#N/A</v>
      </c>
      <c r="G227" s="349" t="s">
        <v>20</v>
      </c>
      <c r="H227" s="350">
        <v>80.0</v>
      </c>
    </row>
    <row r="228" hidden="1">
      <c r="A228" s="272">
        <v>1053.0</v>
      </c>
      <c r="B228" s="272">
        <v>1053.0</v>
      </c>
      <c r="C228" s="348">
        <v>225.0</v>
      </c>
      <c r="D228" s="273">
        <f>IFERROR(__xludf.DUMMYFUNCTION("if(B228&lt;=999,if(B228&lt;=99,IF(B228&lt;=9,join(,""000"",B228),join(,""00"",B228)),join(,""0"",B228)),B228)"),1053.0)</f>
        <v>1053</v>
      </c>
      <c r="E228" s="274" t="s">
        <v>560</v>
      </c>
      <c r="F228" s="263" t="str">
        <f>vlookup(B228,'Geotagging Master All-Training '!$A$2:$C$2474,2,false)</f>
        <v>#N/A</v>
      </c>
      <c r="G228" s="351" t="s">
        <v>20</v>
      </c>
      <c r="H228" s="352">
        <v>80.0</v>
      </c>
    </row>
    <row r="229" hidden="1">
      <c r="A229" s="272">
        <v>1377.0</v>
      </c>
      <c r="B229" s="272">
        <v>1377.0</v>
      </c>
      <c r="C229" s="348">
        <v>226.0</v>
      </c>
      <c r="D229" s="273">
        <f>IFERROR(__xludf.DUMMYFUNCTION("if(B229&lt;=999,if(B229&lt;=99,IF(B229&lt;=9,join(,""000"",B229),join(,""00"",B229)),join(,""0"",B229)),B229)"),1377.0)</f>
        <v>1377</v>
      </c>
      <c r="E229" s="274" t="s">
        <v>563</v>
      </c>
      <c r="F229" s="263" t="str">
        <f>vlookup(B229,'Geotagging Master All-Training '!$A$2:$C$2474,2,false)</f>
        <v>#N/A</v>
      </c>
      <c r="G229" s="351" t="s">
        <v>20</v>
      </c>
      <c r="H229" s="352">
        <v>80.0</v>
      </c>
    </row>
    <row r="230" hidden="1">
      <c r="A230" s="258">
        <v>1234.0</v>
      </c>
      <c r="B230" s="258">
        <v>1234.0</v>
      </c>
      <c r="C230" s="348">
        <v>227.0</v>
      </c>
      <c r="D230" s="260">
        <f>IFERROR(__xludf.DUMMYFUNCTION("if(B230&lt;=999,if(B230&lt;=99,IF(B230&lt;=9,join(,""000"",B230),join(,""00"",B230)),join(,""0"",B230)),B230)"),1234.0)</f>
        <v>1234</v>
      </c>
      <c r="E230" s="262" t="s">
        <v>565</v>
      </c>
      <c r="F230" s="263" t="str">
        <f>vlookup(B230,'Geotagging Master All-Training '!$A$2:$C$2474,2,false)</f>
        <v>#N/A</v>
      </c>
      <c r="G230" s="349" t="s">
        <v>20</v>
      </c>
      <c r="H230" s="350" t="s">
        <v>567</v>
      </c>
    </row>
    <row r="231" hidden="1">
      <c r="A231" s="258">
        <v>1076.0</v>
      </c>
      <c r="B231" s="259">
        <v>1076.0</v>
      </c>
      <c r="C231" s="348">
        <v>228.0</v>
      </c>
      <c r="D231" s="260">
        <f>IFERROR(__xludf.DUMMYFUNCTION("if(B231&lt;=999,if(B231&lt;=99,IF(B231&lt;=9,join(,""000"",B231),join(,""00"",B231)),join(,""0"",B231)),B231)"),1076.0)</f>
        <v>1076</v>
      </c>
      <c r="E231" s="262" t="s">
        <v>568</v>
      </c>
      <c r="F231" s="263" t="str">
        <f>vlookup(B231,'Geotagging Master All-Training '!$A$2:$C$2474,2,false)</f>
        <v>#N/A</v>
      </c>
      <c r="G231" s="349" t="s">
        <v>20</v>
      </c>
      <c r="H231" s="350">
        <v>6036.0</v>
      </c>
    </row>
    <row r="232" hidden="1">
      <c r="A232" s="258">
        <v>273.0</v>
      </c>
      <c r="B232" s="258">
        <v>273.0</v>
      </c>
      <c r="C232" s="348">
        <v>229.0</v>
      </c>
      <c r="D232" s="260" t="str">
        <f>IFERROR(__xludf.DUMMYFUNCTION("if(B232&lt;=999,if(B232&lt;=99,IF(B232&lt;=9,join(,""000"",B232),join(,""00"",B232)),join(,""0"",B232)),B232)"),"0273")</f>
        <v>0273</v>
      </c>
      <c r="E232" s="262" t="s">
        <v>569</v>
      </c>
      <c r="F232" s="263" t="str">
        <f>vlookup(B232,'Geotagging Master All-Training '!$A$2:$C$2474,2,false)</f>
        <v>#N/A</v>
      </c>
      <c r="G232" s="349" t="s">
        <v>20</v>
      </c>
      <c r="H232" s="350">
        <v>6036.0</v>
      </c>
    </row>
    <row r="233" hidden="1">
      <c r="A233" s="258">
        <v>1217.0</v>
      </c>
      <c r="B233" s="258">
        <v>1217.0</v>
      </c>
      <c r="C233" s="348">
        <v>230.0</v>
      </c>
      <c r="D233" s="260">
        <f>IFERROR(__xludf.DUMMYFUNCTION("if(B233&lt;=999,if(B233&lt;=99,IF(B233&lt;=9,join(,""000"",B233),join(,""00"",B233)),join(,""0"",B233)),B233)"),1217.0)</f>
        <v>1217</v>
      </c>
      <c r="E233" s="262" t="s">
        <v>570</v>
      </c>
      <c r="F233" s="263" t="str">
        <f>vlookup(B233,'Geotagging Master All-Training '!$A$2:$C$2474,2,false)</f>
        <v>#N/A</v>
      </c>
      <c r="G233" s="349" t="s">
        <v>20</v>
      </c>
      <c r="H233" s="350" t="s">
        <v>572</v>
      </c>
    </row>
    <row r="234" hidden="1">
      <c r="A234" s="258">
        <v>397.0</v>
      </c>
      <c r="B234" s="258">
        <v>397.0</v>
      </c>
      <c r="C234" s="348">
        <v>231.0</v>
      </c>
      <c r="D234" s="260" t="str">
        <f>IFERROR(__xludf.DUMMYFUNCTION("if(B234&lt;=999,if(B234&lt;=99,IF(B234&lt;=9,join(,""000"",B234),join(,""00"",B234)),join(,""0"",B234)),B234)"),"0397")</f>
        <v>0397</v>
      </c>
      <c r="E234" s="262" t="s">
        <v>573</v>
      </c>
      <c r="F234" s="263" t="str">
        <f>vlookup(B234,'Geotagging Master All-Training '!$A$2:$C$2474,2,false)</f>
        <v>#N/A</v>
      </c>
      <c r="G234" s="349" t="s">
        <v>20</v>
      </c>
      <c r="H234" s="350" t="s">
        <v>244</v>
      </c>
    </row>
    <row r="235" hidden="1">
      <c r="A235" s="258">
        <v>1291.0</v>
      </c>
      <c r="B235" s="258">
        <v>1291.0</v>
      </c>
      <c r="C235" s="348">
        <v>232.0</v>
      </c>
      <c r="D235" s="260">
        <f>IFERROR(__xludf.DUMMYFUNCTION("if(B235&lt;=999,if(B235&lt;=99,IF(B235&lt;=9,join(,""000"",B235),join(,""00"",B235)),join(,""0"",B235)),B235)"),1291.0)</f>
        <v>1291</v>
      </c>
      <c r="E235" s="270" t="s">
        <v>575</v>
      </c>
      <c r="F235" s="263" t="str">
        <f>vlookup(B235,'Geotagging Master All-Training '!$A$2:$C$2474,2,false)</f>
        <v>#N/A</v>
      </c>
      <c r="G235" s="349" t="s">
        <v>20</v>
      </c>
      <c r="H235" s="350">
        <v>64.0</v>
      </c>
    </row>
    <row r="236" hidden="1">
      <c r="A236" s="258">
        <v>609.0</v>
      </c>
      <c r="B236" s="258">
        <v>609.0</v>
      </c>
      <c r="C236" s="348">
        <v>233.0</v>
      </c>
      <c r="D236" s="260" t="str">
        <f>IFERROR(__xludf.DUMMYFUNCTION("if(B236&lt;=999,if(B236&lt;=99,IF(B236&lt;=9,join(,""000"",B236),join(,""00"",B236)),join(,""0"",B236)),B236)"),"0609")</f>
        <v>0609</v>
      </c>
      <c r="E236" s="262" t="s">
        <v>577</v>
      </c>
      <c r="F236" s="263" t="str">
        <f>vlookup(B236,'Geotagging Master All-Training '!$A$2:$C$2474,2,false)</f>
        <v>#N/A</v>
      </c>
      <c r="G236" s="349" t="s">
        <v>20</v>
      </c>
      <c r="H236" s="350">
        <v>16.0</v>
      </c>
    </row>
    <row r="237" hidden="1">
      <c r="A237" s="258">
        <v>1315.0</v>
      </c>
      <c r="B237" s="259">
        <v>1315.0</v>
      </c>
      <c r="C237" s="348">
        <v>234.0</v>
      </c>
      <c r="D237" s="260">
        <f>IFERROR(__xludf.DUMMYFUNCTION("if(B237&lt;=999,if(B237&lt;=99,IF(B237&lt;=9,join(,""000"",B237),join(,""00"",B237)),join(,""0"",B237)),B237)"),1315.0)</f>
        <v>1315</v>
      </c>
      <c r="E237" s="262" t="s">
        <v>579</v>
      </c>
      <c r="F237" s="263" t="str">
        <f>vlookup(B237,'Geotagging Master All-Training '!$A$2:$C$2474,2,false)</f>
        <v>#N/A</v>
      </c>
      <c r="G237" s="349" t="s">
        <v>20</v>
      </c>
      <c r="H237" s="350" t="s">
        <v>580</v>
      </c>
    </row>
    <row r="238" hidden="1">
      <c r="A238" s="258">
        <v>1277.0</v>
      </c>
      <c r="B238" s="258">
        <v>1277.0</v>
      </c>
      <c r="C238" s="348">
        <v>235.0</v>
      </c>
      <c r="D238" s="260">
        <f>IFERROR(__xludf.DUMMYFUNCTION("if(B238&lt;=999,if(B238&lt;=99,IF(B238&lt;=9,join(,""000"",B238),join(,""00"",B238)),join(,""0"",B238)),B238)"),1277.0)</f>
        <v>1277</v>
      </c>
      <c r="E238" s="270" t="s">
        <v>581</v>
      </c>
      <c r="F238" s="263" t="str">
        <f>vlookup(B238,'Geotagging Master All-Training '!$A$2:$C$2474,2,false)</f>
        <v>#N/A</v>
      </c>
      <c r="G238" s="349" t="s">
        <v>20</v>
      </c>
      <c r="H238" s="350" t="s">
        <v>334</v>
      </c>
    </row>
    <row r="239" hidden="1">
      <c r="A239" s="258">
        <v>1065.0</v>
      </c>
      <c r="B239" s="258">
        <v>1065.0</v>
      </c>
      <c r="C239" s="348">
        <v>236.0</v>
      </c>
      <c r="D239" s="260">
        <f>IFERROR(__xludf.DUMMYFUNCTION("if(B239&lt;=999,if(B239&lt;=99,IF(B239&lt;=9,join(,""000"",B239),join(,""00"",B239)),join(,""0"",B239)),B239)"),1065.0)</f>
        <v>1065</v>
      </c>
      <c r="E239" s="262" t="s">
        <v>582</v>
      </c>
      <c r="F239" s="263" t="str">
        <f>vlookup(B239,'Geotagging Master All-Training '!$A$2:$C$2474,2,false)</f>
        <v>#N/A</v>
      </c>
      <c r="G239" s="349" t="s">
        <v>20</v>
      </c>
      <c r="H239" s="350" t="s">
        <v>334</v>
      </c>
    </row>
    <row r="240" hidden="1">
      <c r="A240" s="258">
        <v>1276.0</v>
      </c>
      <c r="B240" s="259">
        <v>1276.0</v>
      </c>
      <c r="C240" s="348">
        <v>237.0</v>
      </c>
      <c r="D240" s="260">
        <f>IFERROR(__xludf.DUMMYFUNCTION("if(B240&lt;=999,if(B240&lt;=99,IF(B240&lt;=9,join(,""000"",B240),join(,""00"",B240)),join(,""0"",B240)),B240)"),1276.0)</f>
        <v>1276</v>
      </c>
      <c r="E240" s="262" t="s">
        <v>586</v>
      </c>
      <c r="F240" s="263" t="str">
        <f>vlookup(B240,'Geotagging Master All-Training '!$A$2:$C$2474,2,false)</f>
        <v>#N/A</v>
      </c>
      <c r="G240" s="349" t="s">
        <v>20</v>
      </c>
      <c r="H240" s="350" t="s">
        <v>334</v>
      </c>
    </row>
    <row r="241" hidden="1">
      <c r="A241" s="258">
        <v>1224.0</v>
      </c>
      <c r="B241" s="258">
        <v>1224.0</v>
      </c>
      <c r="C241" s="348">
        <v>238.0</v>
      </c>
      <c r="D241" s="260">
        <f>IFERROR(__xludf.DUMMYFUNCTION("if(B241&lt;=999,if(B241&lt;=99,IF(B241&lt;=9,join(,""000"",B241),join(,""00"",B241)),join(,""0"",B241)),B241)"),1224.0)</f>
        <v>1224</v>
      </c>
      <c r="E241" s="262" t="s">
        <v>590</v>
      </c>
      <c r="F241" s="263" t="str">
        <f>vlookup(B241,'Geotagging Master All-Training '!$A$2:$C$2474,2,false)</f>
        <v>#N/A</v>
      </c>
      <c r="G241" s="349" t="s">
        <v>20</v>
      </c>
      <c r="H241" s="350" t="e">
        <v>#N/A</v>
      </c>
    </row>
    <row r="242" hidden="1">
      <c r="A242" s="258">
        <v>1114.0</v>
      </c>
      <c r="B242" s="258">
        <v>1114.0</v>
      </c>
      <c r="C242" s="348">
        <v>239.0</v>
      </c>
      <c r="D242" s="260">
        <f>IFERROR(__xludf.DUMMYFUNCTION("if(B242&lt;=999,if(B242&lt;=99,IF(B242&lt;=9,join(,""000"",B242),join(,""00"",B242)),join(,""0"",B242)),B242)"),1114.0)</f>
        <v>1114</v>
      </c>
      <c r="E242" s="262" t="s">
        <v>591</v>
      </c>
      <c r="F242" s="263" t="str">
        <f>vlookup(B242,'Geotagging Master All-Training '!$A$2:$C$2474,2,false)</f>
        <v>#N/A</v>
      </c>
      <c r="G242" s="349" t="s">
        <v>20</v>
      </c>
      <c r="H242" s="350" t="s">
        <v>593</v>
      </c>
    </row>
    <row r="243" hidden="1">
      <c r="A243" s="258">
        <v>1288.0</v>
      </c>
      <c r="B243" s="258">
        <v>1288.0</v>
      </c>
      <c r="C243" s="348">
        <v>240.0</v>
      </c>
      <c r="D243" s="260">
        <f>IFERROR(__xludf.DUMMYFUNCTION("if(B243&lt;=999,if(B243&lt;=99,IF(B243&lt;=9,join(,""000"",B243),join(,""00"",B243)),join(,""0"",B243)),B243)"),1288.0)</f>
        <v>1288</v>
      </c>
      <c r="E243" s="270" t="s">
        <v>597</v>
      </c>
      <c r="F243" s="263" t="str">
        <f>vlookup(B243,'Geotagging Master All-Training '!$A$2:$C$2474,2,false)</f>
        <v>#N/A</v>
      </c>
      <c r="G243" s="349" t="s">
        <v>20</v>
      </c>
      <c r="H243" s="350">
        <v>7000.0</v>
      </c>
    </row>
    <row r="244" hidden="1">
      <c r="A244" s="272">
        <v>915.0</v>
      </c>
      <c r="B244" s="272">
        <v>915.0</v>
      </c>
      <c r="C244" s="348">
        <v>241.0</v>
      </c>
      <c r="D244" s="273" t="str">
        <f>IFERROR(__xludf.DUMMYFUNCTION("if(B244&lt;=999,if(B244&lt;=99,IF(B244&lt;=9,join(,""000"",B244),join(,""00"",B244)),join(,""0"",B244)),B244)"),"0915")</f>
        <v>0915</v>
      </c>
      <c r="E244" s="274" t="s">
        <v>599</v>
      </c>
      <c r="F244" s="263" t="str">
        <f>vlookup(B244,'Geotagging Master All-Training '!$A$2:$C$2474,2,false)</f>
        <v>#N/A</v>
      </c>
      <c r="G244" s="351" t="s">
        <v>20</v>
      </c>
      <c r="H244" s="352">
        <v>5555.0</v>
      </c>
    </row>
    <row r="245" hidden="1">
      <c r="A245" s="258">
        <v>84.0</v>
      </c>
      <c r="B245" s="259">
        <v>84.0</v>
      </c>
      <c r="C245" s="348">
        <v>242.0</v>
      </c>
      <c r="D245" s="260" t="str">
        <f>IFERROR(__xludf.DUMMYFUNCTION("if(B245&lt;=999,if(B245&lt;=99,IF(B245&lt;=9,join(,""000"",B245),join(,""00"",B245)),join(,""0"",B245)),B245)"),"0084")</f>
        <v>0084</v>
      </c>
      <c r="E245" s="262" t="s">
        <v>602</v>
      </c>
      <c r="F245" s="263" t="str">
        <f>vlookup(B245,'Geotagging Master All-Training '!$A$2:$C$2474,2,false)</f>
        <v>#N/A</v>
      </c>
      <c r="G245" s="349" t="s">
        <v>20</v>
      </c>
      <c r="H245" s="350">
        <v>80.0</v>
      </c>
    </row>
    <row r="246" hidden="1">
      <c r="A246" s="272">
        <v>225.0</v>
      </c>
      <c r="B246" s="272">
        <v>225.0</v>
      </c>
      <c r="C246" s="348">
        <v>243.0</v>
      </c>
      <c r="D246" s="273" t="str">
        <f>IFERROR(__xludf.DUMMYFUNCTION("if(B246&lt;=999,if(B246&lt;=99,IF(B246&lt;=9,join(,""000"",B246),join(,""00"",B246)),join(,""0"",B246)),B246)"),"0225")</f>
        <v>0225</v>
      </c>
      <c r="E246" s="274" t="s">
        <v>607</v>
      </c>
      <c r="F246" s="263" t="str">
        <f>vlookup(B246,'Geotagging Master All-Training '!$A$2:$C$2474,2,false)</f>
        <v>#N/A</v>
      </c>
      <c r="G246" s="351" t="s">
        <v>20</v>
      </c>
      <c r="H246" s="352">
        <v>9090.0</v>
      </c>
    </row>
    <row r="247" hidden="1">
      <c r="A247" s="258">
        <v>1200.0</v>
      </c>
      <c r="B247" s="258">
        <v>1200.0</v>
      </c>
      <c r="C247" s="348">
        <v>244.0</v>
      </c>
      <c r="D247" s="260">
        <f>IFERROR(__xludf.DUMMYFUNCTION("if(B247&lt;=999,if(B247&lt;=99,IF(B247&lt;=9,join(,""000"",B247),join(,""00"",B247)),join(,""0"",B247)),B247)"),1200.0)</f>
        <v>1200</v>
      </c>
      <c r="E247" s="262" t="s">
        <v>610</v>
      </c>
      <c r="F247" s="263" t="str">
        <f>vlookup(B247,'Geotagging Master All-Training '!$A$2:$C$2474,2,false)</f>
        <v>#N/A</v>
      </c>
      <c r="G247" s="349" t="s">
        <v>20</v>
      </c>
      <c r="H247" s="350" t="e">
        <v>#N/A</v>
      </c>
    </row>
    <row r="248" hidden="1">
      <c r="A248" s="272">
        <v>1075.0</v>
      </c>
      <c r="B248" s="272">
        <v>1075.0</v>
      </c>
      <c r="C248" s="348">
        <v>245.0</v>
      </c>
      <c r="D248" s="273">
        <f>IFERROR(__xludf.DUMMYFUNCTION("if(B248&lt;=999,if(B248&lt;=99,IF(B248&lt;=9,join(,""000"",B248),join(,""00"",B248)),join(,""0"",B248)),B248)"),1075.0)</f>
        <v>1075</v>
      </c>
      <c r="E248" s="304" t="s">
        <v>611</v>
      </c>
      <c r="F248" s="263" t="str">
        <f>vlookup(B248,'Geotagging Master All-Training '!$A$2:$C$2474,2,false)</f>
        <v>#N/A</v>
      </c>
      <c r="G248" s="351" t="s">
        <v>20</v>
      </c>
      <c r="H248" s="352" t="s">
        <v>613</v>
      </c>
    </row>
    <row r="249" hidden="1">
      <c r="A249" s="258">
        <v>1336.0</v>
      </c>
      <c r="B249" s="258">
        <v>1336.0</v>
      </c>
      <c r="C249" s="348">
        <v>246.0</v>
      </c>
      <c r="D249" s="260">
        <f>IFERROR(__xludf.DUMMYFUNCTION("if(B249&lt;=999,if(B249&lt;=99,IF(B249&lt;=9,join(,""000"",B249),join(,""00"",B249)),join(,""0"",B249)),B249)"),1336.0)</f>
        <v>1336</v>
      </c>
      <c r="E249" s="262" t="s">
        <v>615</v>
      </c>
      <c r="F249" s="263" t="str">
        <f>vlookup(B249,'Geotagging Master All-Training '!$A$2:$C$2474,2,false)</f>
        <v>#N/A</v>
      </c>
      <c r="G249" s="349" t="s">
        <v>20</v>
      </c>
      <c r="H249" s="350">
        <v>16.0</v>
      </c>
    </row>
    <row r="250" hidden="1">
      <c r="A250" s="258">
        <v>1073.0</v>
      </c>
      <c r="B250" s="258">
        <v>1073.0</v>
      </c>
      <c r="C250" s="348">
        <v>247.0</v>
      </c>
      <c r="D250" s="260">
        <f>IFERROR(__xludf.DUMMYFUNCTION("if(B250&lt;=999,if(B250&lt;=99,IF(B250&lt;=9,join(,""000"",B250),join(,""00"",B250)),join(,""0"",B250)),B250)"),1073.0)</f>
        <v>1073</v>
      </c>
      <c r="E250" s="262" t="s">
        <v>617</v>
      </c>
      <c r="F250" s="263" t="str">
        <f>vlookup(B250,'Geotagging Master All-Training '!$A$2:$C$2474,2,false)</f>
        <v>#N/A</v>
      </c>
      <c r="G250" s="349" t="s">
        <v>20</v>
      </c>
      <c r="H250" s="350">
        <v>8000.0</v>
      </c>
    </row>
    <row r="251" hidden="1">
      <c r="A251" s="258">
        <v>758.0</v>
      </c>
      <c r="B251" s="259">
        <v>758.0</v>
      </c>
      <c r="C251" s="348">
        <v>248.0</v>
      </c>
      <c r="D251" s="260" t="str">
        <f>IFERROR(__xludf.DUMMYFUNCTION("if(B251&lt;=999,if(B251&lt;=99,IF(B251&lt;=9,join(,""000"",B251),join(,""00"",B251)),join(,""0"",B251)),B251)"),"0758")</f>
        <v>0758</v>
      </c>
      <c r="E251" s="262" t="s">
        <v>619</v>
      </c>
      <c r="F251" s="263" t="str">
        <f>vlookup(B251,'Geotagging Master All-Training '!$A$2:$C$2474,2,false)</f>
        <v>#N/A</v>
      </c>
      <c r="G251" s="349" t="s">
        <v>20</v>
      </c>
      <c r="H251" s="350" t="s">
        <v>622</v>
      </c>
    </row>
    <row r="252" hidden="1">
      <c r="A252" s="258">
        <v>1137.0</v>
      </c>
      <c r="B252" s="258">
        <v>1137.0</v>
      </c>
      <c r="C252" s="348">
        <v>249.0</v>
      </c>
      <c r="D252" s="260">
        <f>IFERROR(__xludf.DUMMYFUNCTION("if(B252&lt;=999,if(B252&lt;=99,IF(B252&lt;=9,join(,""000"",B252),join(,""00"",B252)),join(,""0"",B252)),B252)"),1137.0)</f>
        <v>1137</v>
      </c>
      <c r="E252" s="262" t="s">
        <v>623</v>
      </c>
      <c r="F252" s="263" t="str">
        <f>vlookup(B252,'Geotagging Master All-Training '!$A$2:$C$2474,2,false)</f>
        <v>#N/A</v>
      </c>
      <c r="G252" s="349" t="s">
        <v>20</v>
      </c>
      <c r="H252" s="350">
        <v>8000.0</v>
      </c>
    </row>
    <row r="253" hidden="1">
      <c r="A253" s="258">
        <v>1270.0</v>
      </c>
      <c r="B253" s="258">
        <v>1270.0</v>
      </c>
      <c r="C253" s="348">
        <v>250.0</v>
      </c>
      <c r="D253" s="260">
        <f>IFERROR(__xludf.DUMMYFUNCTION("if(B253&lt;=999,if(B253&lt;=99,IF(B253&lt;=9,join(,""000"",B253),join(,""00"",B253)),join(,""0"",B253)),B253)"),1270.0)</f>
        <v>1270</v>
      </c>
      <c r="E253" s="262" t="s">
        <v>626</v>
      </c>
      <c r="F253" s="263" t="str">
        <f>vlookup(B253,'Geotagging Master All-Training '!$A$2:$C$2474,2,false)</f>
        <v>#N/A</v>
      </c>
      <c r="G253" s="349" t="s">
        <v>20</v>
      </c>
      <c r="H253" s="350">
        <v>2.20601225300923E15</v>
      </c>
    </row>
    <row r="254" hidden="1">
      <c r="A254" s="258">
        <v>676.0</v>
      </c>
      <c r="B254" s="258">
        <v>676.0</v>
      </c>
      <c r="C254" s="348">
        <v>251.0</v>
      </c>
      <c r="D254" s="260" t="str">
        <f>IFERROR(__xludf.DUMMYFUNCTION("if(B254&lt;=999,if(B254&lt;=99,IF(B254&lt;=9,join(,""000"",B254),join(,""00"",B254)),join(,""0"",B254)),B254)"),"0676")</f>
        <v>0676</v>
      </c>
      <c r="E254" s="262" t="s">
        <v>628</v>
      </c>
      <c r="F254" s="263" t="str">
        <f>vlookup(B254,'Geotagging Master All-Training '!$A$2:$C$2474,2,false)</f>
        <v>#N/A</v>
      </c>
      <c r="G254" s="349" t="s">
        <v>20</v>
      </c>
      <c r="H254" s="350" t="s">
        <v>630</v>
      </c>
    </row>
    <row r="255" hidden="1">
      <c r="A255" s="258">
        <v>1316.0</v>
      </c>
      <c r="B255" s="258">
        <v>1316.0</v>
      </c>
      <c r="C255" s="348">
        <v>252.0</v>
      </c>
      <c r="D255" s="260">
        <f>IFERROR(__xludf.DUMMYFUNCTION("if(B255&lt;=999,if(B255&lt;=99,IF(B255&lt;=9,join(,""000"",B255),join(,""00"",B255)),join(,""0"",B255)),B255)"),1316.0)</f>
        <v>1316</v>
      </c>
      <c r="E255" s="262" t="s">
        <v>631</v>
      </c>
      <c r="F255" s="263" t="str">
        <f>vlookup(B255,'Geotagging Master All-Training '!$A$2:$C$2474,2,false)</f>
        <v>#N/A</v>
      </c>
      <c r="G255" s="349" t="s">
        <v>20</v>
      </c>
      <c r="H255" s="350">
        <v>8.0</v>
      </c>
    </row>
    <row r="256" hidden="1">
      <c r="A256" s="272">
        <v>1131.0</v>
      </c>
      <c r="B256" s="272">
        <v>1131.0</v>
      </c>
      <c r="C256" s="348">
        <v>253.0</v>
      </c>
      <c r="D256" s="273">
        <f>IFERROR(__xludf.DUMMYFUNCTION("if(B256&lt;=999,if(B256&lt;=99,IF(B256&lt;=9,join(,""000"",B256),join(,""00"",B256)),join(,""0"",B256)),B256)"),1131.0)</f>
        <v>1131</v>
      </c>
      <c r="E256" s="304" t="s">
        <v>634</v>
      </c>
      <c r="F256" s="263" t="str">
        <f>vlookup(B256,'Geotagging Master All-Training '!$A$2:$C$2474,2,false)</f>
        <v>#N/A</v>
      </c>
      <c r="G256" s="351" t="s">
        <v>20</v>
      </c>
      <c r="H256" s="352"/>
    </row>
    <row r="257" hidden="1">
      <c r="A257" s="258">
        <v>1284.0</v>
      </c>
      <c r="B257" s="258">
        <v>1284.0</v>
      </c>
      <c r="C257" s="348">
        <v>254.0</v>
      </c>
      <c r="D257" s="260">
        <f>IFERROR(__xludf.DUMMYFUNCTION("if(B257&lt;=999,if(B257&lt;=99,IF(B257&lt;=9,join(,""000"",B257),join(,""00"",B257)),join(,""0"",B257)),B257)"),1284.0)</f>
        <v>1284</v>
      </c>
      <c r="E257" s="262" t="s">
        <v>637</v>
      </c>
      <c r="F257" s="263" t="str">
        <f>vlookup(B257,'Geotagging Master All-Training '!$A$2:$C$2474,2,false)</f>
        <v>#N/A</v>
      </c>
      <c r="G257" s="349" t="s">
        <v>20</v>
      </c>
      <c r="H257" s="350">
        <v>16.0</v>
      </c>
    </row>
    <row r="258" hidden="1">
      <c r="A258" s="258">
        <v>1208.0</v>
      </c>
      <c r="B258" s="259">
        <v>1208.0</v>
      </c>
      <c r="C258" s="348">
        <v>255.0</v>
      </c>
      <c r="D258" s="260">
        <f>IFERROR(__xludf.DUMMYFUNCTION("if(B258&lt;=999,if(B258&lt;=99,IF(B258&lt;=9,join(,""000"",B258),join(,""00"",B258)),join(,""0"",B258)),B258)"),1208.0)</f>
        <v>1208</v>
      </c>
      <c r="E258" s="262" t="s">
        <v>640</v>
      </c>
      <c r="F258" s="263" t="str">
        <f>vlookup(B258,'Geotagging Master All-Training '!$A$2:$C$2474,2,false)</f>
        <v>#N/A</v>
      </c>
      <c r="G258" s="349" t="s">
        <v>20</v>
      </c>
      <c r="H258" s="350">
        <v>25001.0</v>
      </c>
    </row>
    <row r="259" hidden="1">
      <c r="A259" s="258">
        <v>1129.0</v>
      </c>
      <c r="B259" s="258">
        <v>1129.0</v>
      </c>
      <c r="C259" s="348">
        <v>256.0</v>
      </c>
      <c r="D259" s="260">
        <f>IFERROR(__xludf.DUMMYFUNCTION("if(B259&lt;=999,if(B259&lt;=99,IF(B259&lt;=9,join(,""000"",B259),join(,""00"",B259)),join(,""0"",B259)),B259)"),1129.0)</f>
        <v>1129</v>
      </c>
      <c r="E259" s="270" t="s">
        <v>643</v>
      </c>
      <c r="F259" s="263" t="str">
        <f>vlookup(B259,'Geotagging Master All-Training '!$A$2:$C$2474,2,false)</f>
        <v>#N/A</v>
      </c>
      <c r="G259" s="349" t="s">
        <v>35</v>
      </c>
      <c r="H259" s="350" t="e">
        <v>#N/A</v>
      </c>
    </row>
    <row r="260" hidden="1">
      <c r="A260" s="258">
        <v>801.0</v>
      </c>
      <c r="B260" s="259">
        <v>801.0</v>
      </c>
      <c r="C260" s="348">
        <v>257.0</v>
      </c>
      <c r="D260" s="260" t="str">
        <f>IFERROR(__xludf.DUMMYFUNCTION("if(B260&lt;=999,if(B260&lt;=99,IF(B260&lt;=9,join(,""000"",B260),join(,""00"",B260)),join(,""0"",B260)),B260)"),"0801")</f>
        <v>0801</v>
      </c>
      <c r="E260" s="262" t="s">
        <v>644</v>
      </c>
      <c r="F260" s="263" t="str">
        <f>vlookup(B260,'Geotagging Master All-Training '!$A$2:$C$2474,2,false)</f>
        <v>#N/A</v>
      </c>
      <c r="G260" s="349" t="s">
        <v>20</v>
      </c>
      <c r="H260" s="350" t="s">
        <v>645</v>
      </c>
    </row>
    <row r="261" hidden="1">
      <c r="A261" s="258">
        <v>524.0</v>
      </c>
      <c r="B261" s="258">
        <v>524.0</v>
      </c>
      <c r="C261" s="348">
        <v>258.0</v>
      </c>
      <c r="D261" s="260" t="str">
        <f>IFERROR(__xludf.DUMMYFUNCTION("if(B261&lt;=999,if(B261&lt;=99,IF(B261&lt;=9,join(,""000"",B261),join(,""00"",B261)),join(,""0"",B261)),B261)"),"0524")</f>
        <v>0524</v>
      </c>
      <c r="E261" s="270" t="s">
        <v>646</v>
      </c>
      <c r="F261" s="263" t="str">
        <f>vlookup(B261,'Geotagging Master All-Training '!$A$2:$C$2474,2,false)</f>
        <v>#N/A</v>
      </c>
      <c r="G261" s="349" t="s">
        <v>20</v>
      </c>
      <c r="H261" s="350">
        <v>64.0</v>
      </c>
    </row>
    <row r="262" hidden="1">
      <c r="A262" s="258">
        <v>19.0</v>
      </c>
      <c r="B262" s="259">
        <v>19.0</v>
      </c>
      <c r="C262" s="348">
        <v>259.0</v>
      </c>
      <c r="D262" s="260" t="str">
        <f>IFERROR(__xludf.DUMMYFUNCTION("if(B262&lt;=999,if(B262&lt;=99,IF(B262&lt;=9,join(,""000"",B262),join(,""00"",B262)),join(,""0"",B262)),B262)"),"0019")</f>
        <v>0019</v>
      </c>
      <c r="E262" s="270" t="s">
        <v>647</v>
      </c>
      <c r="F262" s="263" t="str">
        <f>vlookup(B262,'Geotagging Master All-Training '!$A$2:$C$2474,2,false)</f>
        <v>#N/A</v>
      </c>
      <c r="G262" s="349" t="s">
        <v>20</v>
      </c>
      <c r="H262" s="350" t="e">
        <v>#N/A</v>
      </c>
    </row>
    <row r="263" hidden="1">
      <c r="A263" s="258">
        <v>1271.0</v>
      </c>
      <c r="B263" s="258">
        <v>1271.0</v>
      </c>
      <c r="C263" s="348">
        <v>260.0</v>
      </c>
      <c r="D263" s="260">
        <f>IFERROR(__xludf.DUMMYFUNCTION("if(B263&lt;=999,if(B263&lt;=99,IF(B263&lt;=9,join(,""000"",B263),join(,""00"",B263)),join(,""0"",B263)),B263)"),1271.0)</f>
        <v>1271</v>
      </c>
      <c r="E263" s="270" t="s">
        <v>648</v>
      </c>
      <c r="F263" s="263" t="str">
        <f>vlookup(B263,'Geotagging Master All-Training '!$A$2:$C$2474,2,false)</f>
        <v>#N/A</v>
      </c>
      <c r="G263" s="349" t="s">
        <v>20</v>
      </c>
      <c r="H263" s="350">
        <v>8000.0</v>
      </c>
    </row>
    <row r="264">
      <c r="A264" s="272">
        <v>1195.0</v>
      </c>
      <c r="B264" s="272">
        <v>1195.0</v>
      </c>
      <c r="C264" s="353">
        <v>18.0</v>
      </c>
      <c r="D264" s="306">
        <v>1195.0</v>
      </c>
      <c r="E264" s="336" t="s">
        <v>1169</v>
      </c>
      <c r="F264" s="303" t="s">
        <v>1362</v>
      </c>
      <c r="G264" s="351" t="s">
        <v>35</v>
      </c>
      <c r="H264" s="359" t="s">
        <v>453</v>
      </c>
    </row>
    <row r="265" hidden="1">
      <c r="A265" s="258">
        <v>1124.0</v>
      </c>
      <c r="B265" s="258">
        <v>1124.0</v>
      </c>
      <c r="C265" s="348">
        <v>262.0</v>
      </c>
      <c r="D265" s="260">
        <f>IFERROR(__xludf.DUMMYFUNCTION("if(B265&lt;=999,if(B265&lt;=99,IF(B265&lt;=9,join(,""000"",B265),join(,""00"",B265)),join(,""0"",B265)),B265)"),1124.0)</f>
        <v>1124</v>
      </c>
      <c r="E265" s="270" t="s">
        <v>1158</v>
      </c>
      <c r="F265" s="263" t="str">
        <f>vlookup(B265,'Geotagging Master All-Training '!$A$2:$C$2474,2,false)</f>
        <v>#N/A</v>
      </c>
      <c r="G265" s="349" t="s">
        <v>20</v>
      </c>
      <c r="H265" s="350">
        <v>5000.0</v>
      </c>
    </row>
    <row r="266" hidden="1">
      <c r="A266" s="258">
        <v>1433.0</v>
      </c>
      <c r="B266" s="259">
        <v>1433.0</v>
      </c>
      <c r="C266" s="348">
        <v>263.0</v>
      </c>
      <c r="D266" s="260">
        <f>IFERROR(__xludf.DUMMYFUNCTION("if(B266&lt;=999,if(B266&lt;=99,IF(B266&lt;=9,join(,""000"",B266),join(,""00"",B266)),join(,""0"",B266)),B266)"),1433.0)</f>
        <v>1433</v>
      </c>
      <c r="E266" s="262" t="s">
        <v>655</v>
      </c>
      <c r="F266" s="263" t="str">
        <f>vlookup(B266,'Geotagging Master All-Training '!$A$2:$C$2474,2,false)</f>
        <v>#N/A</v>
      </c>
      <c r="G266" s="349" t="s">
        <v>20</v>
      </c>
      <c r="H266" s="350">
        <v>16.0</v>
      </c>
    </row>
    <row r="267" hidden="1">
      <c r="A267" s="258">
        <v>1042.0</v>
      </c>
      <c r="B267" s="258">
        <v>1042.0</v>
      </c>
      <c r="C267" s="348">
        <v>264.0</v>
      </c>
      <c r="D267" s="260">
        <f>IFERROR(__xludf.DUMMYFUNCTION("if(B267&lt;=999,if(B267&lt;=99,IF(B267&lt;=9,join(,""000"",B267),join(,""00"",B267)),join(,""0"",B267)),B267)"),1042.0)</f>
        <v>1042</v>
      </c>
      <c r="E267" s="262" t="s">
        <v>659</v>
      </c>
      <c r="F267" s="263" t="str">
        <f>vlookup(B267,'Geotagging Master All-Training '!$A$2:$C$2474,2,false)</f>
        <v>#N/A</v>
      </c>
      <c r="G267" s="349" t="s">
        <v>20</v>
      </c>
      <c r="H267" s="350">
        <v>16.0</v>
      </c>
    </row>
    <row r="268" hidden="1">
      <c r="A268" s="258">
        <v>1307.0</v>
      </c>
      <c r="B268" s="258">
        <v>1307.0</v>
      </c>
      <c r="C268" s="348">
        <v>265.0</v>
      </c>
      <c r="D268" s="260">
        <f>IFERROR(__xludf.DUMMYFUNCTION("if(B268&lt;=999,if(B268&lt;=99,IF(B268&lt;=9,join(,""000"",B268),join(,""00"",B268)),join(,""0"",B268)),B268)"),1307.0)</f>
        <v>1307</v>
      </c>
      <c r="E268" s="270" t="s">
        <v>661</v>
      </c>
      <c r="F268" s="263" t="str">
        <f>vlookup(B268,'Geotagging Master All-Training '!$A$2:$C$2474,2,false)</f>
        <v>#N/A</v>
      </c>
      <c r="G268" s="349" t="s">
        <v>20</v>
      </c>
      <c r="H268" s="350"/>
    </row>
    <row r="269" hidden="1">
      <c r="A269" s="258">
        <v>1111.0</v>
      </c>
      <c r="B269" s="259">
        <v>1111.0</v>
      </c>
      <c r="C269" s="348">
        <v>266.0</v>
      </c>
      <c r="D269" s="260">
        <f>IFERROR(__xludf.DUMMYFUNCTION("if(B269&lt;=999,if(B269&lt;=99,IF(B269&lt;=9,join(,""000"",B269),join(,""00"",B269)),join(,""0"",B269)),B269)"),1111.0)</f>
        <v>1111</v>
      </c>
      <c r="E269" s="270" t="s">
        <v>662</v>
      </c>
      <c r="F269" s="263" t="str">
        <f>vlookup(B269,'Geotagging Master All-Training '!$A$2:$C$2474,2,false)</f>
        <v>#N/A</v>
      </c>
      <c r="G269" s="349" t="s">
        <v>20</v>
      </c>
      <c r="H269" s="350">
        <v>80.0</v>
      </c>
    </row>
    <row r="270" hidden="1">
      <c r="A270" s="258">
        <v>637.0</v>
      </c>
      <c r="B270" s="258">
        <v>637.0</v>
      </c>
      <c r="C270" s="348">
        <v>267.0</v>
      </c>
      <c r="D270" s="260" t="str">
        <f>IFERROR(__xludf.DUMMYFUNCTION("if(B270&lt;=999,if(B270&lt;=99,IF(B270&lt;=9,join(,""000"",B270),join(,""00"",B270)),join(,""0"",B270)),B270)"),"0637")</f>
        <v>0637</v>
      </c>
      <c r="E270" s="262" t="s">
        <v>663</v>
      </c>
      <c r="F270" s="263" t="str">
        <f>vlookup(B270,'Geotagging Master All-Training '!$A$2:$C$2474,2,false)</f>
        <v>#N/A</v>
      </c>
      <c r="G270" s="349" t="s">
        <v>20</v>
      </c>
      <c r="H270" s="350">
        <v>16.0</v>
      </c>
    </row>
    <row r="271" hidden="1">
      <c r="A271" s="258">
        <v>218.0</v>
      </c>
      <c r="B271" s="258">
        <v>218.0</v>
      </c>
      <c r="C271" s="348">
        <v>268.0</v>
      </c>
      <c r="D271" s="260" t="str">
        <f>IFERROR(__xludf.DUMMYFUNCTION("if(B271&lt;=999,if(B271&lt;=99,IF(B271&lt;=9,join(,""000"",B271),join(,""00"",B271)),join(,""0"",B271)),B271)"),"0218")</f>
        <v>0218</v>
      </c>
      <c r="E271" s="262" t="s">
        <v>665</v>
      </c>
      <c r="F271" s="263" t="str">
        <f>vlookup(B271,'Geotagging Master All-Training '!$A$2:$C$2474,2,false)</f>
        <v>#N/A</v>
      </c>
      <c r="G271" s="349" t="s">
        <v>20</v>
      </c>
      <c r="H271" s="350" t="e">
        <v>#N/A</v>
      </c>
    </row>
    <row r="272" hidden="1">
      <c r="A272" s="258">
        <v>1148.0</v>
      </c>
      <c r="B272" s="258">
        <v>1148.0</v>
      </c>
      <c r="C272" s="348">
        <v>269.0</v>
      </c>
      <c r="D272" s="260">
        <f>IFERROR(__xludf.DUMMYFUNCTION("if(B272&lt;=999,if(B272&lt;=99,IF(B272&lt;=9,join(,""000"",B272),join(,""00"",B272)),join(,""0"",B272)),B272)"),1148.0)</f>
        <v>1148</v>
      </c>
      <c r="E272" s="262" t="s">
        <v>668</v>
      </c>
      <c r="F272" s="263" t="str">
        <f>vlookup(B272,'Geotagging Master All-Training '!$A$2:$C$2474,2,false)</f>
        <v>#N/A</v>
      </c>
      <c r="G272" s="349" t="s">
        <v>20</v>
      </c>
      <c r="H272" s="350" t="e">
        <v>#N/A</v>
      </c>
    </row>
    <row r="273" hidden="1">
      <c r="A273" s="258">
        <v>1090.0</v>
      </c>
      <c r="B273" s="258">
        <v>1090.0</v>
      </c>
      <c r="C273" s="348">
        <v>270.0</v>
      </c>
      <c r="D273" s="260">
        <f>IFERROR(__xludf.DUMMYFUNCTION("if(B273&lt;=999,if(B273&lt;=99,IF(B273&lt;=9,join(,""000"",B273),join(,""00"",B273)),join(,""0"",B273)),B273)"),1090.0)</f>
        <v>1090</v>
      </c>
      <c r="E273" s="262" t="s">
        <v>669</v>
      </c>
      <c r="F273" s="263" t="str">
        <f>vlookup(B273,'Geotagging Master All-Training '!$A$2:$C$2474,2,false)</f>
        <v>#N/A</v>
      </c>
      <c r="G273" s="349" t="s">
        <v>20</v>
      </c>
      <c r="H273" s="350" t="e">
        <v>#N/A</v>
      </c>
    </row>
    <row r="274" hidden="1">
      <c r="A274" s="258">
        <v>1121.0</v>
      </c>
      <c r="B274" s="258">
        <v>1121.0</v>
      </c>
      <c r="C274" s="348">
        <v>271.0</v>
      </c>
      <c r="D274" s="260">
        <f>IFERROR(__xludf.DUMMYFUNCTION("if(B274&lt;=999,if(B274&lt;=99,IF(B274&lt;=9,join(,""000"",B274),join(,""00"",B274)),join(,""0"",B274)),B274)"),1121.0)</f>
        <v>1121</v>
      </c>
      <c r="E274" s="262" t="s">
        <v>670</v>
      </c>
      <c r="F274" s="263" t="str">
        <f>vlookup(B274,'Geotagging Master All-Training '!$A$2:$C$2474,2,false)</f>
        <v>#N/A</v>
      </c>
      <c r="G274" s="349" t="s">
        <v>20</v>
      </c>
      <c r="H274" s="350">
        <v>80.0</v>
      </c>
    </row>
    <row r="275" hidden="1">
      <c r="A275" s="258">
        <v>61.0</v>
      </c>
      <c r="B275" s="259">
        <v>61.0</v>
      </c>
      <c r="C275" s="348">
        <v>272.0</v>
      </c>
      <c r="D275" s="260" t="str">
        <f>IFERROR(__xludf.DUMMYFUNCTION("if(B275&lt;=999,if(B275&lt;=99,IF(B275&lt;=9,join(,""000"",B275),join(,""00"",B275)),join(,""0"",B275)),B275)"),"0061")</f>
        <v>0061</v>
      </c>
      <c r="E275" s="262" t="s">
        <v>672</v>
      </c>
      <c r="F275" s="263" t="str">
        <f>vlookup(B275,'Geotagging Master All-Training '!$A$2:$C$2474,2,false)</f>
        <v>#N/A</v>
      </c>
      <c r="G275" s="349" t="s">
        <v>20</v>
      </c>
      <c r="H275" s="350" t="e">
        <v>#N/A</v>
      </c>
    </row>
    <row r="276" hidden="1">
      <c r="A276" s="272">
        <v>814.0</v>
      </c>
      <c r="B276" s="272">
        <v>814.0</v>
      </c>
      <c r="C276" s="348">
        <v>273.0</v>
      </c>
      <c r="D276" s="273" t="str">
        <f>IFERROR(__xludf.DUMMYFUNCTION("if(B276&lt;=999,if(B276&lt;=99,IF(B276&lt;=9,join(,""000"",B276),join(,""00"",B276)),join(,""0"",B276)),B276)"),"0814")</f>
        <v>0814</v>
      </c>
      <c r="E276" s="274" t="s">
        <v>675</v>
      </c>
      <c r="F276" s="263" t="str">
        <f>vlookup(B276,'Geotagging Master All-Training '!$A$2:$C$2474,2,false)</f>
        <v>#N/A</v>
      </c>
      <c r="G276" s="351" t="s">
        <v>20</v>
      </c>
      <c r="H276" s="352">
        <v>25001.0</v>
      </c>
    </row>
    <row r="277" hidden="1">
      <c r="A277" s="272">
        <v>1192.0</v>
      </c>
      <c r="B277" s="272">
        <v>1192.0</v>
      </c>
      <c r="C277" s="348">
        <v>274.0</v>
      </c>
      <c r="D277" s="273">
        <f>IFERROR(__xludf.DUMMYFUNCTION("if(B277&lt;=999,if(B277&lt;=99,IF(B277&lt;=9,join(,""000"",B277),join(,""00"",B277)),join(,""0"",B277)),B277)"),1192.0)</f>
        <v>1192</v>
      </c>
      <c r="E277" s="274" t="s">
        <v>680</v>
      </c>
      <c r="F277" s="263" t="str">
        <f>vlookup(B277,'Geotagging Master All-Training '!$A$2:$C$2474,2,false)</f>
        <v>#N/A</v>
      </c>
      <c r="G277" s="351" t="s">
        <v>20</v>
      </c>
      <c r="H277" s="352">
        <v>25001.0</v>
      </c>
    </row>
    <row r="278" hidden="1">
      <c r="A278" s="258">
        <v>1435.0</v>
      </c>
      <c r="B278" s="258">
        <v>1435.0</v>
      </c>
      <c r="C278" s="348">
        <v>275.0</v>
      </c>
      <c r="D278" s="260">
        <f>IFERROR(__xludf.DUMMYFUNCTION("if(B278&lt;=999,if(B278&lt;=99,IF(B278&lt;=9,join(,""000"",B278),join(,""00"",B278)),join(,""0"",B278)),B278)"),1435.0)</f>
        <v>1435</v>
      </c>
      <c r="E278" s="270" t="s">
        <v>1164</v>
      </c>
      <c r="F278" s="263" t="str">
        <f>vlookup(B278,'Geotagging Master All-Training '!$A$2:$C$2474,2,false)</f>
        <v>#N/A</v>
      </c>
      <c r="G278" s="349" t="s">
        <v>20</v>
      </c>
      <c r="H278" s="350">
        <v>16.0</v>
      </c>
    </row>
    <row r="279" hidden="1">
      <c r="A279" s="258">
        <v>341.0</v>
      </c>
      <c r="B279" s="259">
        <v>341.0</v>
      </c>
      <c r="C279" s="348">
        <v>276.0</v>
      </c>
      <c r="D279" s="260" t="str">
        <f>IFERROR(__xludf.DUMMYFUNCTION("if(B279&lt;=999,if(B279&lt;=99,IF(B279&lt;=9,join(,""000"",B279),join(,""00"",B279)),join(,""0"",B279)),B279)"),"0341")</f>
        <v>0341</v>
      </c>
      <c r="E279" s="262" t="s">
        <v>682</v>
      </c>
      <c r="F279" s="263" t="str">
        <f>vlookup(B279,'Geotagging Master All-Training '!$A$2:$C$2474,2,false)</f>
        <v>#N/A</v>
      </c>
      <c r="G279" s="349" t="s">
        <v>20</v>
      </c>
      <c r="H279" s="350" t="s">
        <v>684</v>
      </c>
    </row>
    <row r="280" hidden="1">
      <c r="A280" s="258">
        <v>1362.0</v>
      </c>
      <c r="B280" s="259">
        <v>1362.0</v>
      </c>
      <c r="C280" s="348">
        <v>277.0</v>
      </c>
      <c r="D280" s="260">
        <f>IFERROR(__xludf.DUMMYFUNCTION("if(B280&lt;=999,if(B280&lt;=99,IF(B280&lt;=9,join(,""000"",B280),join(,""00"",B280)),join(,""0"",B280)),B280)"),1362.0)</f>
        <v>1362</v>
      </c>
      <c r="E280" s="262" t="s">
        <v>685</v>
      </c>
      <c r="F280" s="263" t="str">
        <f>vlookup(B280,'Geotagging Master All-Training '!$A$2:$C$2474,2,false)</f>
        <v>#N/A</v>
      </c>
      <c r="G280" s="349" t="s">
        <v>20</v>
      </c>
      <c r="H280" s="356" t="s">
        <v>25</v>
      </c>
    </row>
    <row r="281" hidden="1">
      <c r="A281" s="258">
        <v>1015.0</v>
      </c>
      <c r="B281" s="258">
        <v>1015.0</v>
      </c>
      <c r="C281" s="348">
        <v>278.0</v>
      </c>
      <c r="D281" s="260">
        <f>IFERROR(__xludf.DUMMYFUNCTION("if(B281&lt;=999,if(B281&lt;=99,IF(B281&lt;=9,join(,""000"",B281),join(,""00"",B281)),join(,""0"",B281)),B281)"),1015.0)</f>
        <v>1015</v>
      </c>
      <c r="E281" s="270" t="s">
        <v>688</v>
      </c>
      <c r="F281" s="263" t="str">
        <f>vlookup(B281,'Geotagging Master All-Training '!$A$2:$C$2474,2,false)</f>
        <v>#N/A</v>
      </c>
      <c r="G281" s="349" t="s">
        <v>20</v>
      </c>
      <c r="H281" s="350">
        <v>16.0</v>
      </c>
    </row>
    <row r="282" hidden="1">
      <c r="A282" s="258">
        <v>6.0</v>
      </c>
      <c r="B282" s="258">
        <v>6.0</v>
      </c>
      <c r="C282" s="348">
        <v>279.0</v>
      </c>
      <c r="D282" s="260" t="str">
        <f>IFERROR(__xludf.DUMMYFUNCTION("if(B282&lt;=999,if(B282&lt;=99,IF(B282&lt;=9,join(,""000"",B282),join(,""00"",B282)),join(,""0"",B282)),B282)"),"0006")</f>
        <v>0006</v>
      </c>
      <c r="E282" s="270" t="s">
        <v>690</v>
      </c>
      <c r="F282" s="263" t="str">
        <f>vlookup(B282,'Geotagging Master All-Training '!$A$2:$C$2474,2,false)</f>
        <v>#N/A</v>
      </c>
      <c r="G282" s="349" t="s">
        <v>35</v>
      </c>
      <c r="H282" s="350">
        <v>80.0</v>
      </c>
    </row>
    <row r="283" hidden="1">
      <c r="A283" s="272">
        <v>683.0</v>
      </c>
      <c r="B283" s="272">
        <v>683.0</v>
      </c>
      <c r="C283" s="348">
        <v>280.0</v>
      </c>
      <c r="D283" s="273" t="str">
        <f>IFERROR(__xludf.DUMMYFUNCTION("if(B283&lt;=999,if(B283&lt;=99,IF(B283&lt;=9,join(,""000"",B283),join(,""00"",B283)),join(,""0"",B283)),B283)"),"0683")</f>
        <v>0683</v>
      </c>
      <c r="E283" s="274" t="s">
        <v>691</v>
      </c>
      <c r="F283" s="263" t="str">
        <f>vlookup(B283,'Geotagging Master All-Training '!$A$2:$C$2474,2,false)</f>
        <v>#N/A</v>
      </c>
      <c r="G283" s="351" t="s">
        <v>20</v>
      </c>
      <c r="H283" s="352" t="e">
        <v>#N/A</v>
      </c>
    </row>
    <row r="284" hidden="1">
      <c r="A284" s="258">
        <v>34.0</v>
      </c>
      <c r="B284" s="259">
        <v>34.0</v>
      </c>
      <c r="C284" s="348">
        <v>281.0</v>
      </c>
      <c r="D284" s="260" t="str">
        <f>IFERROR(__xludf.DUMMYFUNCTION("if(B284&lt;=999,if(B284&lt;=99,IF(B284&lt;=9,join(,""000"",B284),join(,""00"",B284)),join(,""0"",B284)),B284)"),"0034")</f>
        <v>0034</v>
      </c>
      <c r="E284" s="270" t="s">
        <v>695</v>
      </c>
      <c r="F284" s="263" t="str">
        <f>vlookup(B284,'Geotagging Master All-Training '!$A$2:$C$2474,2,false)</f>
        <v>#N/A</v>
      </c>
      <c r="G284" s="349" t="s">
        <v>20</v>
      </c>
      <c r="H284" s="350" t="s">
        <v>696</v>
      </c>
    </row>
    <row r="285" hidden="1">
      <c r="A285" s="258">
        <v>914.0</v>
      </c>
      <c r="B285" s="258">
        <v>914.0</v>
      </c>
      <c r="C285" s="348">
        <v>282.0</v>
      </c>
      <c r="D285" s="260" t="str">
        <f>IFERROR(__xludf.DUMMYFUNCTION("if(B285&lt;=999,if(B285&lt;=99,IF(B285&lt;=9,join(,""000"",B285),join(,""00"",B285)),join(,""0"",B285)),B285)"),"0914")</f>
        <v>0914</v>
      </c>
      <c r="E285" s="262" t="s">
        <v>698</v>
      </c>
      <c r="F285" s="263" t="str">
        <f>vlookup(B285,'Geotagging Master All-Training '!$A$2:$C$2474,2,false)</f>
        <v>#N/A</v>
      </c>
      <c r="G285" s="349" t="s">
        <v>20</v>
      </c>
      <c r="H285" s="350">
        <v>82.0</v>
      </c>
    </row>
    <row r="286" hidden="1">
      <c r="A286" s="258">
        <v>241.0</v>
      </c>
      <c r="B286" s="258">
        <v>241.0</v>
      </c>
      <c r="C286" s="348">
        <v>283.0</v>
      </c>
      <c r="D286" s="260" t="str">
        <f>IFERROR(__xludf.DUMMYFUNCTION("if(B286&lt;=999,if(B286&lt;=99,IF(B286&lt;=9,join(,""000"",B286),join(,""00"",B286)),join(,""0"",B286)),B286)"),"0241")</f>
        <v>0241</v>
      </c>
      <c r="E286" s="270" t="s">
        <v>700</v>
      </c>
      <c r="F286" s="263" t="str">
        <f>vlookup(B286,'Geotagging Master All-Training '!$A$2:$C$2474,2,false)</f>
        <v>#N/A</v>
      </c>
      <c r="G286" s="349" t="s">
        <v>20</v>
      </c>
      <c r="H286" s="350">
        <v>16.0</v>
      </c>
    </row>
    <row r="287" hidden="1">
      <c r="A287" s="258">
        <v>495.0</v>
      </c>
      <c r="B287" s="258">
        <v>495.0</v>
      </c>
      <c r="C287" s="348">
        <v>284.0</v>
      </c>
      <c r="D287" s="260" t="str">
        <f>IFERROR(__xludf.DUMMYFUNCTION("if(B287&lt;=999,if(B287&lt;=99,IF(B287&lt;=9,join(,""000"",B287),join(,""00"",B287)),join(,""0"",B287)),B287)"),"0495")</f>
        <v>0495</v>
      </c>
      <c r="E287" s="262" t="s">
        <v>701</v>
      </c>
      <c r="F287" s="263" t="str">
        <f>vlookup(B287,'Geotagging Master All-Training '!$A$2:$C$2474,2,false)</f>
        <v>#N/A</v>
      </c>
      <c r="G287" s="349" t="s">
        <v>20</v>
      </c>
      <c r="H287" s="350">
        <v>123.0</v>
      </c>
    </row>
    <row r="288" hidden="1">
      <c r="A288" s="258">
        <v>79.0</v>
      </c>
      <c r="B288" s="258">
        <v>79.0</v>
      </c>
      <c r="C288" s="348">
        <v>285.0</v>
      </c>
      <c r="D288" s="260" t="str">
        <f>IFERROR(__xludf.DUMMYFUNCTION("if(B288&lt;=999,if(B288&lt;=99,IF(B288&lt;=9,join(,""000"",B288),join(,""00"",B288)),join(,""0"",B288)),B288)"),"0079")</f>
        <v>0079</v>
      </c>
      <c r="E288" s="262" t="s">
        <v>704</v>
      </c>
      <c r="F288" s="263" t="str">
        <f>vlookup(B288,'Geotagging Master All-Training '!$A$2:$C$2474,2,false)</f>
        <v>#N/A</v>
      </c>
      <c r="G288" s="349" t="s">
        <v>20</v>
      </c>
      <c r="H288" s="350" t="e">
        <v>#N/A</v>
      </c>
    </row>
    <row r="289" hidden="1">
      <c r="A289" s="258">
        <v>1226.0</v>
      </c>
      <c r="B289" s="258">
        <v>1226.0</v>
      </c>
      <c r="C289" s="348">
        <v>286.0</v>
      </c>
      <c r="D289" s="260">
        <f>IFERROR(__xludf.DUMMYFUNCTION("if(B289&lt;=999,if(B289&lt;=99,IF(B289&lt;=9,join(,""000"",B289),join(,""00"",B289)),join(,""0"",B289)),B289)"),1226.0)</f>
        <v>1226</v>
      </c>
      <c r="E289" s="262" t="s">
        <v>710</v>
      </c>
      <c r="F289" s="263" t="str">
        <f>vlookup(B289,'Geotagging Master All-Training '!$A$2:$C$2474,2,false)</f>
        <v>#N/A</v>
      </c>
      <c r="G289" s="349" t="s">
        <v>20</v>
      </c>
      <c r="H289" s="350" t="e">
        <v>#N/A</v>
      </c>
    </row>
    <row r="290" hidden="1">
      <c r="A290" s="258">
        <v>1347.0</v>
      </c>
      <c r="B290" s="259">
        <v>1347.0</v>
      </c>
      <c r="C290" s="348">
        <v>287.0</v>
      </c>
      <c r="D290" s="260">
        <v>1347.0</v>
      </c>
      <c r="E290" s="270" t="s">
        <v>711</v>
      </c>
      <c r="F290" s="263" t="str">
        <f>vlookup(B290,'Geotagging Master All-Training '!$A$2:$C$2474,2,false)</f>
        <v>#N/A</v>
      </c>
      <c r="G290" s="349" t="s">
        <v>20</v>
      </c>
      <c r="H290" s="350" t="e">
        <v>#N/A</v>
      </c>
    </row>
    <row r="291" hidden="1">
      <c r="A291" s="258">
        <v>759.0</v>
      </c>
      <c r="B291" s="258">
        <v>759.0</v>
      </c>
      <c r="C291" s="348">
        <v>288.0</v>
      </c>
      <c r="D291" s="260" t="str">
        <f>IFERROR(__xludf.DUMMYFUNCTION("if(B291&lt;=999,if(B291&lt;=99,IF(B291&lt;=9,join(,""000"",B291),join(,""00"",B291)),join(,""0"",B291)),B291)"),"0759")</f>
        <v>0759</v>
      </c>
      <c r="E291" s="270" t="s">
        <v>713</v>
      </c>
      <c r="F291" s="263" t="str">
        <f>vlookup(B291,'Geotagging Master All-Training '!$A$2:$C$2474,2,false)</f>
        <v>#N/A</v>
      </c>
      <c r="G291" s="349" t="s">
        <v>20</v>
      </c>
      <c r="H291" s="350">
        <v>37777.0</v>
      </c>
    </row>
    <row r="292" hidden="1">
      <c r="A292" s="258">
        <v>63.0</v>
      </c>
      <c r="B292" s="259">
        <v>63.0</v>
      </c>
      <c r="C292" s="348">
        <v>289.0</v>
      </c>
      <c r="D292" s="260" t="str">
        <f>IFERROR(__xludf.DUMMYFUNCTION("if(B292&lt;=999,if(B292&lt;=99,IF(B292&lt;=9,join(,""000"",B292),join(,""00"",B292)),join(,""0"",B292)),B292)"),"0063")</f>
        <v>0063</v>
      </c>
      <c r="E292" s="262" t="s">
        <v>715</v>
      </c>
      <c r="F292" s="263" t="str">
        <f>vlookup(B292,'Geotagging Master All-Training '!$A$2:$C$2474,2,false)</f>
        <v>#N/A</v>
      </c>
      <c r="G292" s="349" t="s">
        <v>20</v>
      </c>
      <c r="H292" s="350" t="s">
        <v>717</v>
      </c>
    </row>
    <row r="293">
      <c r="A293" s="272">
        <v>821.0</v>
      </c>
      <c r="B293" s="272">
        <v>821.0</v>
      </c>
      <c r="C293" s="353">
        <v>19.0</v>
      </c>
      <c r="D293" s="273" t="s">
        <v>1407</v>
      </c>
      <c r="E293" s="304" t="s">
        <v>732</v>
      </c>
      <c r="F293" s="303" t="s">
        <v>1365</v>
      </c>
      <c r="G293" s="351" t="s">
        <v>35</v>
      </c>
      <c r="H293" s="352" t="e">
        <v>#N/A</v>
      </c>
    </row>
    <row r="294" hidden="1">
      <c r="A294" s="258">
        <v>1047.0</v>
      </c>
      <c r="B294" s="258">
        <v>1047.0</v>
      </c>
      <c r="C294" s="348">
        <v>291.0</v>
      </c>
      <c r="D294" s="260">
        <f>IFERROR(__xludf.DUMMYFUNCTION("if(B294&lt;=999,if(B294&lt;=99,IF(B294&lt;=9,join(,""000"",B294),join(,""00"",B294)),join(,""0"",B294)),B294)"),1047.0)</f>
        <v>1047</v>
      </c>
      <c r="E294" s="270" t="s">
        <v>719</v>
      </c>
      <c r="F294" s="263" t="str">
        <f>vlookup(B294,'Geotagging Master All-Training '!$A$2:$C$2474,2,false)</f>
        <v>#N/A</v>
      </c>
      <c r="G294" s="349" t="s">
        <v>20</v>
      </c>
      <c r="H294" s="350"/>
    </row>
    <row r="295" hidden="1">
      <c r="A295" s="258">
        <v>247.0</v>
      </c>
      <c r="B295" s="258">
        <v>247.0</v>
      </c>
      <c r="C295" s="348">
        <v>292.0</v>
      </c>
      <c r="D295" s="260" t="str">
        <f>IFERROR(__xludf.DUMMYFUNCTION("if(B295&lt;=999,if(B295&lt;=99,IF(B295&lt;=9,join(,""000"",B295),join(,""00"",B295)),join(,""0"",B295)),B295)"),"0247")</f>
        <v>0247</v>
      </c>
      <c r="E295" s="262" t="s">
        <v>721</v>
      </c>
      <c r="F295" s="263" t="str">
        <f>vlookup(B295,'Geotagging Master All-Training '!$A$2:$C$2474,2,false)</f>
        <v>#N/A</v>
      </c>
      <c r="G295" s="349" t="s">
        <v>20</v>
      </c>
      <c r="H295" s="350" t="s">
        <v>722</v>
      </c>
    </row>
    <row r="296" hidden="1">
      <c r="A296" s="258">
        <v>75.0</v>
      </c>
      <c r="B296" s="258">
        <v>75.0</v>
      </c>
      <c r="C296" s="348">
        <v>293.0</v>
      </c>
      <c r="D296" s="260" t="str">
        <f>IFERROR(__xludf.DUMMYFUNCTION("if(B296&lt;=999,if(B296&lt;=99,IF(B296&lt;=9,join(,""000"",B296),join(,""00"",B296)),join(,""0"",B296)),B296)"),"0075")</f>
        <v>0075</v>
      </c>
      <c r="E296" s="262" t="s">
        <v>723</v>
      </c>
      <c r="F296" s="263" t="str">
        <f>vlookup(B296,'Geotagging Master All-Training '!$A$2:$C$2474,2,false)</f>
        <v>#N/A</v>
      </c>
      <c r="G296" s="349" t="s">
        <v>20</v>
      </c>
      <c r="H296" s="350"/>
    </row>
    <row r="297" hidden="1">
      <c r="A297" s="258">
        <v>312.0</v>
      </c>
      <c r="B297" s="258">
        <v>312.0</v>
      </c>
      <c r="C297" s="348">
        <v>294.0</v>
      </c>
      <c r="D297" s="260" t="str">
        <f>IFERROR(__xludf.DUMMYFUNCTION("if(B297&lt;=999,if(B297&lt;=99,IF(B297&lt;=9,join(,""000"",B297),join(,""00"",B297)),join(,""0"",B297)),B297)"),"0312")</f>
        <v>0312</v>
      </c>
      <c r="E297" s="262" t="s">
        <v>725</v>
      </c>
      <c r="F297" s="263" t="str">
        <f>vlookup(B297,'Geotagging Master All-Training '!$A$2:$C$2474,2,false)</f>
        <v>#N/A</v>
      </c>
      <c r="G297" s="349" t="s">
        <v>20</v>
      </c>
      <c r="H297" s="350"/>
    </row>
    <row r="298" hidden="1">
      <c r="A298" s="272">
        <v>1312.0</v>
      </c>
      <c r="B298" s="272">
        <v>1312.0</v>
      </c>
      <c r="C298" s="348">
        <v>295.0</v>
      </c>
      <c r="D298" s="273">
        <f>IFERROR(__xludf.DUMMYFUNCTION("if(B298&lt;=999,if(B298&lt;=99,IF(B298&lt;=9,join(,""000"",B298),join(,""00"",B298)),join(,""0"",B298)),B298)"),1312.0)</f>
        <v>1312</v>
      </c>
      <c r="E298" s="304" t="s">
        <v>726</v>
      </c>
      <c r="F298" s="263" t="str">
        <f>vlookup(B298,'Geotagging Master All-Training '!$A$2:$C$2474,2,false)</f>
        <v>#N/A</v>
      </c>
      <c r="G298" s="351" t="s">
        <v>20</v>
      </c>
      <c r="H298" s="352">
        <v>800.0</v>
      </c>
    </row>
    <row r="299" hidden="1">
      <c r="A299" s="258">
        <v>809.0</v>
      </c>
      <c r="B299" s="259">
        <v>809.0</v>
      </c>
      <c r="C299" s="348">
        <v>296.0</v>
      </c>
      <c r="D299" s="260" t="str">
        <f>IFERROR(__xludf.DUMMYFUNCTION("if(B299&lt;=999,if(B299&lt;=99,IF(B299&lt;=9,join(,""000"",B299),join(,""00"",B299)),join(,""0"",B299)),B299)"),"0809")</f>
        <v>0809</v>
      </c>
      <c r="E299" s="270" t="s">
        <v>1179</v>
      </c>
      <c r="F299" s="263" t="str">
        <f>vlookup(B299,'Geotagging Master All-Training '!$A$2:$C$2474,2,false)</f>
        <v>#N/A</v>
      </c>
      <c r="G299" s="349" t="s">
        <v>20</v>
      </c>
      <c r="H299" s="350" t="e">
        <v>#N/A</v>
      </c>
    </row>
    <row r="300" hidden="1">
      <c r="A300" s="272">
        <v>797.0</v>
      </c>
      <c r="B300" s="272">
        <v>797.0</v>
      </c>
      <c r="C300" s="353">
        <v>309.0</v>
      </c>
      <c r="D300" s="273" t="str">
        <f>IFERROR(__xludf.DUMMYFUNCTION("if(B300&lt;=999,if(B300&lt;=99,IF(B300&lt;=9,join(,""000"",B300),join(,""00"",B300)),join(,""0"",B300)),B300)"),"0797")</f>
        <v>0797</v>
      </c>
      <c r="E300" s="304" t="s">
        <v>1181</v>
      </c>
      <c r="F300" s="303" t="str">
        <f>vlookup(B300,'Geotagging Master All-Training '!$A$2:$C$2474,2,false)</f>
        <v>#N/A</v>
      </c>
      <c r="G300" s="351" t="s">
        <v>20</v>
      </c>
      <c r="H300" s="352" t="e">
        <v>#N/A</v>
      </c>
    </row>
    <row r="301" hidden="1">
      <c r="A301" s="258">
        <v>1300.0</v>
      </c>
      <c r="B301" s="259">
        <v>1300.0</v>
      </c>
      <c r="C301" s="348">
        <v>298.0</v>
      </c>
      <c r="D301" s="260">
        <f>IFERROR(__xludf.DUMMYFUNCTION("if(B301&lt;=999,if(B301&lt;=99,IF(B301&lt;=9,join(,""000"",B301),join(,""00"",B301)),join(,""0"",B301)),B301)"),1300.0)</f>
        <v>1300</v>
      </c>
      <c r="E301" s="270" t="s">
        <v>733</v>
      </c>
      <c r="F301" s="263" t="str">
        <f>vlookup(B301,'Geotagging Master All-Training '!$A$2:$C$2474,2,false)</f>
        <v>#N/A</v>
      </c>
      <c r="G301" s="349" t="s">
        <v>20</v>
      </c>
      <c r="H301" s="350"/>
    </row>
    <row r="302" hidden="1">
      <c r="A302" s="258">
        <v>1219.0</v>
      </c>
      <c r="B302" s="258">
        <v>1219.0</v>
      </c>
      <c r="C302" s="348">
        <v>299.0</v>
      </c>
      <c r="D302" s="260">
        <f>IFERROR(__xludf.DUMMYFUNCTION("if(B302&lt;=999,if(B302&lt;=99,IF(B302&lt;=9,join(,""000"",B302),join(,""00"",B302)),join(,""0"",B302)),B302)"),1219.0)</f>
        <v>1219</v>
      </c>
      <c r="E302" s="270" t="s">
        <v>736</v>
      </c>
      <c r="F302" s="263" t="str">
        <f>vlookup(B302,'Geotagging Master All-Training '!$A$2:$C$2474,2,false)</f>
        <v>#N/A</v>
      </c>
      <c r="G302" s="349" t="s">
        <v>20</v>
      </c>
      <c r="H302" s="350" t="e">
        <v>#N/A</v>
      </c>
    </row>
    <row r="303" hidden="1">
      <c r="A303" s="258">
        <v>1139.0</v>
      </c>
      <c r="B303" s="258">
        <v>1139.0</v>
      </c>
      <c r="C303" s="348">
        <v>300.0</v>
      </c>
      <c r="D303" s="260">
        <f>IFERROR(__xludf.DUMMYFUNCTION("if(B303&lt;=999,if(B303&lt;=99,IF(B303&lt;=9,join(,""000"",B303),join(,""00"",B303)),join(,""0"",B303)),B303)"),1139.0)</f>
        <v>1139</v>
      </c>
      <c r="E303" s="262" t="s">
        <v>737</v>
      </c>
      <c r="F303" s="263" t="str">
        <f>vlookup(B303,'Geotagging Master All-Training '!$A$2:$C$2474,2,false)</f>
        <v>#N/A</v>
      </c>
      <c r="G303" s="349" t="s">
        <v>20</v>
      </c>
      <c r="H303" s="350">
        <v>2501.0</v>
      </c>
    </row>
    <row r="304" hidden="1">
      <c r="A304" s="272">
        <v>784.0</v>
      </c>
      <c r="B304" s="272">
        <v>784.0</v>
      </c>
      <c r="C304" s="348">
        <v>301.0</v>
      </c>
      <c r="D304" s="273" t="str">
        <f>IFERROR(__xludf.DUMMYFUNCTION("if(B304&lt;=999,if(B304&lt;=99,IF(B304&lt;=9,join(,""000"",B304),join(,""00"",B304)),join(,""0"",B304)),B304)"),"0784")</f>
        <v>0784</v>
      </c>
      <c r="E304" s="304" t="s">
        <v>739</v>
      </c>
      <c r="F304" s="263" t="str">
        <f>vlookup(B304,'Geotagging Master All-Training '!$A$2:$C$2474,2,false)</f>
        <v>#N/A</v>
      </c>
      <c r="G304" s="351" t="s">
        <v>20</v>
      </c>
      <c r="H304" s="352">
        <v>8025001.0</v>
      </c>
    </row>
    <row r="305" hidden="1">
      <c r="A305" s="258">
        <v>1306.0</v>
      </c>
      <c r="B305" s="259">
        <v>1306.0</v>
      </c>
      <c r="C305" s="348">
        <v>302.0</v>
      </c>
      <c r="D305" s="260">
        <f>IFERROR(__xludf.DUMMYFUNCTION("if(B305&lt;=999,if(B305&lt;=99,IF(B305&lt;=9,join(,""000"",B305),join(,""00"",B305)),join(,""0"",B305)),B305)"),1306.0)</f>
        <v>1306</v>
      </c>
      <c r="E305" s="262" t="s">
        <v>741</v>
      </c>
      <c r="F305" s="263" t="str">
        <f>vlookup(B305,'Geotagging Master All-Training '!$A$2:$C$2474,2,false)</f>
        <v>#N/A</v>
      </c>
      <c r="G305" s="349" t="s">
        <v>20</v>
      </c>
      <c r="H305" s="350">
        <v>16.0</v>
      </c>
    </row>
    <row r="306" hidden="1">
      <c r="A306" s="258">
        <v>1218.0</v>
      </c>
      <c r="B306" s="258">
        <v>1218.0</v>
      </c>
      <c r="C306" s="348">
        <v>303.0</v>
      </c>
      <c r="D306" s="260">
        <f>IFERROR(__xludf.DUMMYFUNCTION("if(B306&lt;=999,if(B306&lt;=99,IF(B306&lt;=9,join(,""000"",B306),join(,""00"",B306)),join(,""0"",B306)),B306)"),1218.0)</f>
        <v>1218</v>
      </c>
      <c r="E306" s="262" t="s">
        <v>744</v>
      </c>
      <c r="F306" s="263" t="str">
        <f>vlookup(B306,'Geotagging Master All-Training '!$A$2:$C$2474,2,false)</f>
        <v>#N/A</v>
      </c>
      <c r="G306" s="349" t="s">
        <v>20</v>
      </c>
      <c r="H306" s="350">
        <v>16.0</v>
      </c>
    </row>
    <row r="307" ht="18.75" hidden="1" customHeight="1">
      <c r="A307" s="258">
        <v>16.0</v>
      </c>
      <c r="B307" s="258">
        <v>16.0</v>
      </c>
      <c r="C307" s="348">
        <v>304.0</v>
      </c>
      <c r="D307" s="260" t="str">
        <f>IFERROR(__xludf.DUMMYFUNCTION("if(B307&lt;=999,if(B307&lt;=99,IF(B307&lt;=9,join(,""000"",B307),join(,""00"",B307)),join(,""0"",B307)),B307)"),"0016")</f>
        <v>0016</v>
      </c>
      <c r="E307" s="262" t="s">
        <v>746</v>
      </c>
      <c r="F307" s="263" t="str">
        <f>vlookup(B307,'Geotagging Master All-Training '!$A$2:$C$2474,2,false)</f>
        <v>#N/A</v>
      </c>
      <c r="G307" s="349" t="s">
        <v>20</v>
      </c>
      <c r="H307" s="350" t="s">
        <v>749</v>
      </c>
    </row>
    <row r="308" ht="19.5" hidden="1" customHeight="1">
      <c r="A308" s="258">
        <v>1646.0</v>
      </c>
      <c r="B308" s="258">
        <v>1646.0</v>
      </c>
      <c r="C308" s="348">
        <v>305.0</v>
      </c>
      <c r="D308" s="260">
        <f>IFERROR(__xludf.DUMMYFUNCTION("if(B308&lt;=999,if(B308&lt;=99,IF(B308&lt;=9,join(,""000"",B308),join(,""00"",B308)),join(,""0"",B308)),B308)"),1646.0)</f>
        <v>1646</v>
      </c>
      <c r="E308" s="262" t="s">
        <v>750</v>
      </c>
      <c r="F308" s="263" t="str">
        <f>vlookup(B308,'Geotagging Master All-Training '!$A$2:$C$2474,2,false)</f>
        <v>#N/A</v>
      </c>
      <c r="G308" s="349" t="s">
        <v>20</v>
      </c>
      <c r="H308" s="350" t="s">
        <v>752</v>
      </c>
    </row>
    <row r="309" hidden="1">
      <c r="A309" s="258">
        <v>1138.0</v>
      </c>
      <c r="B309" s="258">
        <v>1138.0</v>
      </c>
      <c r="C309" s="348">
        <v>306.0</v>
      </c>
      <c r="D309" s="260">
        <f>IFERROR(__xludf.DUMMYFUNCTION("if(B309&lt;=999,if(B309&lt;=99,IF(B309&lt;=9,join(,""000"",B309),join(,""00"",B309)),join(,""0"",B309)),B309)"),1138.0)</f>
        <v>1138</v>
      </c>
      <c r="E309" s="270" t="s">
        <v>753</v>
      </c>
      <c r="F309" s="263" t="str">
        <f>vlookup(B309,'Geotagging Master All-Training '!$A$2:$C$2474,2,false)</f>
        <v>#N/A</v>
      </c>
      <c r="G309" s="349" t="s">
        <v>20</v>
      </c>
      <c r="H309" s="350"/>
    </row>
    <row r="310" hidden="1">
      <c r="A310" s="258">
        <v>1109.0</v>
      </c>
      <c r="B310" s="258">
        <v>1109.0</v>
      </c>
      <c r="C310" s="348">
        <v>307.0</v>
      </c>
      <c r="D310" s="260">
        <f>IFERROR(__xludf.DUMMYFUNCTION("if(B310&lt;=999,if(B310&lt;=99,IF(B310&lt;=9,join(,""000"",B310),join(,""00"",B310)),join(,""0"",B310)),B310)"),1109.0)</f>
        <v>1109</v>
      </c>
      <c r="E310" s="270" t="s">
        <v>755</v>
      </c>
      <c r="F310" s="263" t="str">
        <f>vlookup(B310,'Geotagging Master All-Training '!$A$2:$C$2474,2,false)</f>
        <v>#N/A</v>
      </c>
      <c r="G310" s="349" t="s">
        <v>20</v>
      </c>
      <c r="H310" s="350">
        <v>80.0</v>
      </c>
    </row>
    <row r="311" hidden="1">
      <c r="A311" s="258">
        <v>1016.0</v>
      </c>
      <c r="B311" s="259">
        <v>1016.0</v>
      </c>
      <c r="C311" s="348">
        <v>308.0</v>
      </c>
      <c r="D311" s="260">
        <f>IFERROR(__xludf.DUMMYFUNCTION("if(B311&lt;=999,if(B311&lt;=99,IF(B311&lt;=9,join(,""000"",B311),join(,""00"",B311)),join(,""0"",B311)),B311)"),1016.0)</f>
        <v>1016</v>
      </c>
      <c r="E311" s="270" t="s">
        <v>756</v>
      </c>
      <c r="F311" s="263" t="str">
        <f>vlookup(B311,'Geotagging Master All-Training '!$A$2:$C$2474,2,false)</f>
        <v>#N/A</v>
      </c>
      <c r="G311" s="349" t="s">
        <v>20</v>
      </c>
      <c r="H311" s="350">
        <v>80.0</v>
      </c>
    </row>
    <row r="312" hidden="1">
      <c r="A312" s="272">
        <v>69.0</v>
      </c>
      <c r="B312" s="272">
        <v>69.0</v>
      </c>
      <c r="C312" s="353">
        <v>316.0</v>
      </c>
      <c r="D312" s="273" t="str">
        <f>IFERROR(__xludf.DUMMYFUNCTION("if(B312&lt;=999,if(B312&lt;=99,IF(B312&lt;=9,join(,""000"",B312),join(,""00"",B312)),join(,""0"",B312)),B312)"),"0069")</f>
        <v>0069</v>
      </c>
      <c r="E312" s="304" t="s">
        <v>1182</v>
      </c>
      <c r="F312" s="303" t="str">
        <f>vlookup(B312,'Geotagging Master All-Training '!$A$2:$C$2474,2,false)</f>
        <v>#N/A</v>
      </c>
      <c r="G312" s="351" t="s">
        <v>20</v>
      </c>
      <c r="H312" s="352" t="e">
        <v>#N/A</v>
      </c>
    </row>
    <row r="313" hidden="1">
      <c r="A313" s="272">
        <v>1269.0</v>
      </c>
      <c r="B313" s="272">
        <v>1269.0</v>
      </c>
      <c r="C313" s="348">
        <v>310.0</v>
      </c>
      <c r="D313" s="273">
        <f>IFERROR(__xludf.DUMMYFUNCTION("if(B313&lt;=999,if(B313&lt;=99,IF(B313&lt;=9,join(,""000"",B313),join(,""00"",B313)),join(,""0"",B313)),B313)"),1269.0)</f>
        <v>1269</v>
      </c>
      <c r="E313" s="274" t="s">
        <v>759</v>
      </c>
      <c r="F313" s="263" t="str">
        <f>vlookup(B313,'Geotagging Master All-Training '!$A$2:$C$2474,2,false)</f>
        <v>#N/A</v>
      </c>
      <c r="G313" s="351" t="s">
        <v>20</v>
      </c>
      <c r="H313" s="352">
        <v>80.0</v>
      </c>
    </row>
    <row r="314" hidden="1">
      <c r="A314" s="258">
        <v>1439.0</v>
      </c>
      <c r="B314" s="258">
        <v>1439.0</v>
      </c>
      <c r="C314" s="348">
        <v>311.0</v>
      </c>
      <c r="D314" s="260">
        <f>IFERROR(__xludf.DUMMYFUNCTION("if(B314&lt;=999,if(B314&lt;=99,IF(B314&lt;=9,join(,""000"",B314),join(,""00"",B314)),join(,""0"",B314)),B314)"),1439.0)</f>
        <v>1439</v>
      </c>
      <c r="E314" s="262" t="s">
        <v>763</v>
      </c>
      <c r="F314" s="263" t="str">
        <f>vlookup(B314,'Geotagging Master All-Training '!$A$2:$C$2474,2,false)</f>
        <v>#N/A</v>
      </c>
      <c r="G314" s="349" t="s">
        <v>20</v>
      </c>
      <c r="H314" s="350">
        <v>25.0</v>
      </c>
    </row>
    <row r="315" hidden="1">
      <c r="A315" s="258">
        <v>1100.0</v>
      </c>
      <c r="B315" s="258">
        <v>1100.0</v>
      </c>
      <c r="C315" s="348">
        <v>312.0</v>
      </c>
      <c r="D315" s="260">
        <f>IFERROR(__xludf.DUMMYFUNCTION("if(B315&lt;=999,if(B315&lt;=99,IF(B315&lt;=9,join(,""000"",B315),join(,""00"",B315)),join(,""0"",B315)),B315)"),1100.0)</f>
        <v>1100</v>
      </c>
      <c r="E315" s="270" t="s">
        <v>765</v>
      </c>
      <c r="F315" s="263" t="str">
        <f>vlookup(B315,'Geotagging Master All-Training '!$A$2:$C$2474,2,false)</f>
        <v>#N/A</v>
      </c>
      <c r="G315" s="349" t="s">
        <v>20</v>
      </c>
      <c r="H315" s="350">
        <v>36666.0</v>
      </c>
    </row>
    <row r="316" hidden="1">
      <c r="A316" s="258">
        <v>1232.0</v>
      </c>
      <c r="B316" s="258">
        <v>1232.0</v>
      </c>
      <c r="C316" s="348">
        <v>313.0</v>
      </c>
      <c r="D316" s="260">
        <f>IFERROR(__xludf.DUMMYFUNCTION("if(B316&lt;=999,if(B316&lt;=99,IF(B316&lt;=9,join(,""000"",B316),join(,""00"",B316)),join(,""0"",B316)),B316)"),1232.0)</f>
        <v>1232</v>
      </c>
      <c r="E316" s="270" t="s">
        <v>766</v>
      </c>
      <c r="F316" s="263" t="str">
        <f>vlookup(B316,'Geotagging Master All-Training '!$A$2:$C$2474,2,false)</f>
        <v>#N/A</v>
      </c>
      <c r="G316" s="349" t="s">
        <v>20</v>
      </c>
      <c r="H316" s="350">
        <v>8.0</v>
      </c>
    </row>
    <row r="317" hidden="1">
      <c r="A317" s="272">
        <v>1361.0</v>
      </c>
      <c r="B317" s="272">
        <v>1361.0</v>
      </c>
      <c r="C317" s="348">
        <v>314.0</v>
      </c>
      <c r="D317" s="273">
        <f>IFERROR(__xludf.DUMMYFUNCTION("if(B317&lt;=999,if(B317&lt;=99,IF(B317&lt;=9,join(,""000"",B317),join(,""00"",B317)),join(,""0"",B317)),B317)"),1361.0)</f>
        <v>1361</v>
      </c>
      <c r="E317" s="304" t="s">
        <v>768</v>
      </c>
      <c r="F317" s="263" t="str">
        <f>vlookup(B317,'Geotagging Master All-Training '!$A$2:$C$2474,2,false)</f>
        <v>#N/A</v>
      </c>
      <c r="G317" s="351" t="s">
        <v>20</v>
      </c>
      <c r="H317" s="352">
        <v>64.0</v>
      </c>
    </row>
    <row r="318" hidden="1">
      <c r="A318" s="272">
        <v>1223.0</v>
      </c>
      <c r="B318" s="272">
        <v>1223.0</v>
      </c>
      <c r="C318" s="348">
        <v>315.0</v>
      </c>
      <c r="D318" s="273">
        <f>IFERROR(__xludf.DUMMYFUNCTION("if(B318&lt;=999,if(B318&lt;=99,IF(B318&lt;=9,join(,""000"",B318),join(,""00"",B318)),join(,""0"",B318)),B318)"),1223.0)</f>
        <v>1223</v>
      </c>
      <c r="E318" s="274" t="s">
        <v>772</v>
      </c>
      <c r="F318" s="263" t="str">
        <f>vlookup(B318,'Geotagging Master All-Training '!$A$2:$C$2474,2,false)</f>
        <v>#N/A</v>
      </c>
      <c r="G318" s="351" t="s">
        <v>20</v>
      </c>
      <c r="H318" s="352" t="e">
        <v>#N/A</v>
      </c>
    </row>
    <row r="319">
      <c r="A319" s="272">
        <v>231.0</v>
      </c>
      <c r="B319" s="272">
        <v>231.0</v>
      </c>
      <c r="C319" s="353">
        <v>20.0</v>
      </c>
      <c r="D319" s="273" t="s">
        <v>1408</v>
      </c>
      <c r="E319" s="304" t="s">
        <v>1289</v>
      </c>
      <c r="F319" s="303" t="s">
        <v>1394</v>
      </c>
      <c r="G319" s="351" t="s">
        <v>35</v>
      </c>
      <c r="H319" s="352" t="e">
        <v>#N/A</v>
      </c>
    </row>
    <row r="320" hidden="1">
      <c r="A320" s="258">
        <v>1431.0</v>
      </c>
      <c r="B320" s="258">
        <v>1431.0</v>
      </c>
      <c r="C320" s="348">
        <v>317.0</v>
      </c>
      <c r="D320" s="260">
        <f>IFERROR(__xludf.DUMMYFUNCTION("if(B320&lt;=999,if(B320&lt;=99,IF(B320&lt;=9,join(,""000"",B320),join(,""00"",B320)),join(,""0"",B320)),B320)"),1431.0)</f>
        <v>1431</v>
      </c>
      <c r="E320" s="262" t="s">
        <v>779</v>
      </c>
      <c r="F320" s="263" t="str">
        <f>vlookup(B320,'Geotagging Master All-Training '!$A$2:$C$2474,2,false)</f>
        <v>#N/A</v>
      </c>
      <c r="G320" s="349" t="s">
        <v>20</v>
      </c>
      <c r="H320" s="350">
        <v>16.0</v>
      </c>
    </row>
    <row r="321" hidden="1">
      <c r="A321" s="258">
        <v>1085.0</v>
      </c>
      <c r="B321" s="258">
        <v>1085.0</v>
      </c>
      <c r="C321" s="348">
        <v>318.0</v>
      </c>
      <c r="D321" s="260">
        <f>IFERROR(__xludf.DUMMYFUNCTION("if(B321&lt;=999,if(B321&lt;=99,IF(B321&lt;=9,join(,""000"",B321),join(,""00"",B321)),join(,""0"",B321)),B321)"),1085.0)</f>
        <v>1085</v>
      </c>
      <c r="E321" s="262" t="s">
        <v>782</v>
      </c>
      <c r="F321" s="263" t="str">
        <f>vlookup(B321,'Geotagging Master All-Training '!$A$2:$C$2474,2,false)</f>
        <v>#N/A</v>
      </c>
      <c r="G321" s="349" t="s">
        <v>20</v>
      </c>
      <c r="H321" s="350">
        <v>8888.0</v>
      </c>
    </row>
    <row r="322" hidden="1">
      <c r="A322" s="258">
        <v>1052.0</v>
      </c>
      <c r="B322" s="258">
        <v>1052.0</v>
      </c>
      <c r="C322" s="348">
        <v>319.0</v>
      </c>
      <c r="D322" s="260">
        <f>IFERROR(__xludf.DUMMYFUNCTION("if(B322&lt;=999,if(B322&lt;=99,IF(B322&lt;=9,join(,""000"",B322),join(,""00"",B322)),join(,""0"",B322)),B322)"),1052.0)</f>
        <v>1052</v>
      </c>
      <c r="E322" s="262" t="s">
        <v>786</v>
      </c>
      <c r="F322" s="263" t="str">
        <f>vlookup(B322,'Geotagging Master All-Training '!$A$2:$C$2474,2,false)</f>
        <v>#N/A</v>
      </c>
      <c r="G322" s="349" t="s">
        <v>20</v>
      </c>
      <c r="H322" s="350">
        <v>8888.0</v>
      </c>
    </row>
    <row r="323" hidden="1">
      <c r="A323" s="258">
        <v>512.0</v>
      </c>
      <c r="B323" s="259">
        <v>512.0</v>
      </c>
      <c r="C323" s="348">
        <v>320.0</v>
      </c>
      <c r="D323" s="260" t="str">
        <f>IFERROR(__xludf.DUMMYFUNCTION("if(B323&lt;=999,if(B323&lt;=99,IF(B323&lt;=9,join(,""000"",B323),join(,""00"",B323)),join(,""0"",B323)),B323)"),"0512")</f>
        <v>0512</v>
      </c>
      <c r="E323" s="270" t="s">
        <v>787</v>
      </c>
      <c r="F323" s="263" t="str">
        <f>vlookup(B323,'Geotagging Master All-Training '!$A$2:$C$2474,2,false)</f>
        <v>#N/A</v>
      </c>
      <c r="G323" s="349" t="s">
        <v>35</v>
      </c>
      <c r="H323" s="350" t="e">
        <v>#N/A</v>
      </c>
    </row>
    <row r="324" hidden="1">
      <c r="A324" s="258">
        <v>1304.0</v>
      </c>
      <c r="B324" s="258">
        <v>1304.0</v>
      </c>
      <c r="C324" s="348">
        <v>321.0</v>
      </c>
      <c r="D324" s="260">
        <f>IFERROR(__xludf.DUMMYFUNCTION("if(B324&lt;=999,if(B324&lt;=99,IF(B324&lt;=9,join(,""000"",B324),join(,""00"",B324)),join(,""0"",B324)),B324)"),1304.0)</f>
        <v>1304</v>
      </c>
      <c r="E324" s="262" t="s">
        <v>788</v>
      </c>
      <c r="F324" s="263" t="str">
        <f>vlookup(B324,'Geotagging Master All-Training '!$A$2:$C$2474,2,false)</f>
        <v>#N/A</v>
      </c>
      <c r="G324" s="349" t="s">
        <v>20</v>
      </c>
      <c r="H324" s="350" t="s">
        <v>791</v>
      </c>
    </row>
    <row r="325">
      <c r="A325" s="272">
        <v>1367.0</v>
      </c>
      <c r="B325" s="272">
        <v>1367.0</v>
      </c>
      <c r="C325" s="353">
        <v>21.0</v>
      </c>
      <c r="D325" s="273">
        <v>1367.0</v>
      </c>
      <c r="E325" s="304" t="s">
        <v>652</v>
      </c>
      <c r="F325" s="303" t="s">
        <v>1348</v>
      </c>
      <c r="G325" s="351" t="s">
        <v>35</v>
      </c>
      <c r="H325" s="352">
        <v>32.0</v>
      </c>
    </row>
    <row r="326" hidden="1">
      <c r="A326" s="258">
        <v>647.0</v>
      </c>
      <c r="B326" s="258">
        <v>647.0</v>
      </c>
      <c r="C326" s="348">
        <v>323.0</v>
      </c>
      <c r="D326" s="260" t="str">
        <f>IFERROR(__xludf.DUMMYFUNCTION("if(B326&lt;=999,if(B326&lt;=99,IF(B326&lt;=9,join(,""000"",B326),join(,""00"",B326)),join(,""0"",B326)),B326)"),"0647")</f>
        <v>0647</v>
      </c>
      <c r="E326" s="262" t="s">
        <v>796</v>
      </c>
      <c r="F326" s="263" t="str">
        <f>vlookup(B326,'Geotagging Master All-Training '!$A$2:$C$2474,2,false)</f>
        <v>#N/A</v>
      </c>
      <c r="G326" s="349" t="s">
        <v>20</v>
      </c>
      <c r="H326" s="350">
        <v>25001.0</v>
      </c>
    </row>
    <row r="327" hidden="1">
      <c r="A327" s="258">
        <v>1298.0</v>
      </c>
      <c r="B327" s="258">
        <v>1298.0</v>
      </c>
      <c r="C327" s="348">
        <v>324.0</v>
      </c>
      <c r="D327" s="260">
        <f>IFERROR(__xludf.DUMMYFUNCTION("if(B327&lt;=999,if(B327&lt;=99,IF(B327&lt;=9,join(,""000"",B327),join(,""00"",B327)),join(,""0"",B327)),B327)"),1298.0)</f>
        <v>1298</v>
      </c>
      <c r="E327" s="270" t="s">
        <v>799</v>
      </c>
      <c r="F327" s="263" t="str">
        <f>vlookup(B327,'Geotagging Master All-Training '!$A$2:$C$2474,2,false)</f>
        <v>#N/A</v>
      </c>
      <c r="G327" s="349" t="s">
        <v>20</v>
      </c>
      <c r="H327" s="350" t="e">
        <v>#N/A</v>
      </c>
    </row>
    <row r="328" hidden="1">
      <c r="A328" s="272">
        <v>798.0</v>
      </c>
      <c r="B328" s="272">
        <v>798.0</v>
      </c>
      <c r="C328" s="353">
        <v>326.0</v>
      </c>
      <c r="D328" s="273" t="str">
        <f>IFERROR(__xludf.DUMMYFUNCTION("if(B328&lt;=999,if(B328&lt;=99,IF(B328&lt;=9,join(,""000"",B328),join(,""00"",B328)),join(,""0"",B328)),B328)"),"0798")</f>
        <v>0798</v>
      </c>
      <c r="E328" s="304" t="s">
        <v>804</v>
      </c>
      <c r="F328" s="303" t="str">
        <f>vlookup(B328,'Geotagging Master All-Training '!$A$2:$C$2474,2,false)</f>
        <v>#N/A</v>
      </c>
      <c r="G328" s="351" t="s">
        <v>20</v>
      </c>
      <c r="H328" s="352"/>
    </row>
    <row r="329" hidden="1">
      <c r="A329" s="272">
        <v>1025.0</v>
      </c>
      <c r="B329" s="272">
        <v>1025.0</v>
      </c>
      <c r="C329" s="353">
        <v>337.0</v>
      </c>
      <c r="D329" s="273">
        <f>IFERROR(__xludf.DUMMYFUNCTION("if(B329&lt;=999,if(B329&lt;=99,IF(B329&lt;=9,join(,""000"",B329),join(,""00"",B329)),join(,""0"",B329)),B329)"),1025.0)</f>
        <v>1025</v>
      </c>
      <c r="E329" s="304" t="s">
        <v>209</v>
      </c>
      <c r="F329" s="303" t="str">
        <f>vlookup(B329,'Geotagging Master All-Training '!$A$2:$C$2474,2,false)</f>
        <v>#N/A</v>
      </c>
      <c r="G329" s="351" t="s">
        <v>20</v>
      </c>
      <c r="H329" s="352">
        <v>18.0</v>
      </c>
    </row>
    <row r="330" hidden="1">
      <c r="A330" s="272">
        <v>1074.0</v>
      </c>
      <c r="B330" s="272">
        <v>1074.0</v>
      </c>
      <c r="C330" s="348">
        <v>327.0</v>
      </c>
      <c r="D330" s="273">
        <f>IFERROR(__xludf.DUMMYFUNCTION("if(B330&lt;=999,if(B330&lt;=99,IF(B330&lt;=9,join(,""000"",B330),join(,""00"",B330)),join(,""0"",B330)),B330)"),1074.0)</f>
        <v>1074</v>
      </c>
      <c r="E330" s="274" t="s">
        <v>807</v>
      </c>
      <c r="F330" s="263" t="str">
        <f>vlookup(B330,'Geotagging Master All-Training '!$A$2:$C$2474,2,false)</f>
        <v>#N/A</v>
      </c>
      <c r="G330" s="351" t="s">
        <v>20</v>
      </c>
      <c r="H330" s="352">
        <v>80.0</v>
      </c>
    </row>
    <row r="331" hidden="1">
      <c r="A331" s="272">
        <v>530.0</v>
      </c>
      <c r="B331" s="272">
        <v>530.0</v>
      </c>
      <c r="C331" s="348">
        <v>328.0</v>
      </c>
      <c r="D331" s="273" t="str">
        <f>IFERROR(__xludf.DUMMYFUNCTION("if(B331&lt;=999,if(B331&lt;=99,IF(B331&lt;=9,join(,""000"",B331),join(,""00"",B331)),join(,""0"",B331)),B331)"),"0530")</f>
        <v>0530</v>
      </c>
      <c r="E331" s="274" t="s">
        <v>809</v>
      </c>
      <c r="F331" s="263" t="str">
        <f>vlookup(B331,'Geotagging Master All-Training '!$A$2:$C$2474,2,false)</f>
        <v>#N/A</v>
      </c>
      <c r="G331" s="351" t="s">
        <v>20</v>
      </c>
      <c r="H331" s="352" t="s">
        <v>811</v>
      </c>
    </row>
    <row r="332" hidden="1">
      <c r="A332" s="258">
        <v>741.0</v>
      </c>
      <c r="B332" s="258">
        <v>741.0</v>
      </c>
      <c r="C332" s="348">
        <v>329.0</v>
      </c>
      <c r="D332" s="260" t="str">
        <f>IFERROR(__xludf.DUMMYFUNCTION("if(B332&lt;=999,if(B332&lt;=99,IF(B332&lt;=9,join(,""000"",B332),join(,""00"",B332)),join(,""0"",B332)),B332)"),"0741")</f>
        <v>0741</v>
      </c>
      <c r="E332" s="270" t="s">
        <v>812</v>
      </c>
      <c r="F332" s="263" t="str">
        <f>vlookup(B332,'Geotagging Master All-Training '!$A$2:$C$2474,2,false)</f>
        <v>#N/A</v>
      </c>
      <c r="G332" s="349" t="s">
        <v>20</v>
      </c>
      <c r="H332" s="350"/>
    </row>
    <row r="333" hidden="1">
      <c r="A333" s="258">
        <v>227.0</v>
      </c>
      <c r="B333" s="259">
        <v>227.0</v>
      </c>
      <c r="C333" s="348">
        <v>330.0</v>
      </c>
      <c r="D333" s="260" t="str">
        <f>IFERROR(__xludf.DUMMYFUNCTION("if(B333&lt;=999,if(B333&lt;=99,IF(B333&lt;=9,join(,""000"",B333),join(,""00"",B333)),join(,""0"",B333)),B333)"),"0227")</f>
        <v>0227</v>
      </c>
      <c r="E333" s="270" t="s">
        <v>814</v>
      </c>
      <c r="F333" s="263" t="str">
        <f>vlookup(B333,'Geotagging Master All-Training '!$A$2:$C$2474,2,false)</f>
        <v>#N/A</v>
      </c>
      <c r="G333" s="349" t="s">
        <v>20</v>
      </c>
      <c r="H333" s="350"/>
    </row>
    <row r="334" hidden="1">
      <c r="A334" s="258">
        <v>1233.0</v>
      </c>
      <c r="B334" s="258">
        <v>1233.0</v>
      </c>
      <c r="C334" s="348">
        <v>331.0</v>
      </c>
      <c r="D334" s="260">
        <f>IFERROR(__xludf.DUMMYFUNCTION("if(B334&lt;=999,if(B334&lt;=99,IF(B334&lt;=9,join(,""000"",B334),join(,""00"",B334)),join(,""0"",B334)),B334)"),1233.0)</f>
        <v>1233</v>
      </c>
      <c r="E334" s="262" t="s">
        <v>815</v>
      </c>
      <c r="F334" s="263" t="str">
        <f>vlookup(B334,'Geotagging Master All-Training '!$A$2:$C$2474,2,false)</f>
        <v>#N/A</v>
      </c>
      <c r="G334" s="349" t="s">
        <v>20</v>
      </c>
      <c r="H334" s="350">
        <v>80.0</v>
      </c>
    </row>
    <row r="335" hidden="1">
      <c r="A335" s="258">
        <v>1115.0</v>
      </c>
      <c r="B335" s="258">
        <v>1115.0</v>
      </c>
      <c r="C335" s="348">
        <v>332.0</v>
      </c>
      <c r="D335" s="260">
        <f>IFERROR(__xludf.DUMMYFUNCTION("if(B335&lt;=999,if(B335&lt;=99,IF(B335&lt;=9,join(,""000"",B335),join(,""00"",B335)),join(,""0"",B335)),B335)"),1115.0)</f>
        <v>1115</v>
      </c>
      <c r="E335" s="262" t="s">
        <v>817</v>
      </c>
      <c r="F335" s="263" t="str">
        <f>vlookup(B335,'Geotagging Master All-Training '!$A$2:$C$2474,2,false)</f>
        <v>#N/A</v>
      </c>
      <c r="G335" s="349" t="s">
        <v>20</v>
      </c>
      <c r="H335" s="350">
        <v>80.0</v>
      </c>
    </row>
    <row r="336" hidden="1">
      <c r="A336" s="258">
        <v>219.0</v>
      </c>
      <c r="B336" s="258">
        <v>219.0</v>
      </c>
      <c r="C336" s="348">
        <v>333.0</v>
      </c>
      <c r="D336" s="260" t="str">
        <f>IFERROR(__xludf.DUMMYFUNCTION("if(B336&lt;=999,if(B336&lt;=99,IF(B336&lt;=9,join(,""000"",B336),join(,""00"",B336)),join(,""0"",B336)),B336)"),"0219")</f>
        <v>0219</v>
      </c>
      <c r="E336" s="262" t="s">
        <v>820</v>
      </c>
      <c r="F336" s="263" t="str">
        <f>vlookup(B336,'Geotagging Master All-Training '!$A$2:$C$2474,2,false)</f>
        <v>#N/A</v>
      </c>
      <c r="G336" s="349" t="s">
        <v>20</v>
      </c>
      <c r="H336" s="350">
        <v>80.0</v>
      </c>
    </row>
    <row r="337" hidden="1">
      <c r="A337" s="258">
        <v>1402.0</v>
      </c>
      <c r="B337" s="259">
        <v>1402.0</v>
      </c>
      <c r="C337" s="348">
        <v>334.0</v>
      </c>
      <c r="D337" s="260">
        <f>IFERROR(__xludf.DUMMYFUNCTION("if(B337&lt;=999,if(B337&lt;=99,IF(B337&lt;=9,join(,""000"",B337),join(,""00"",B337)),join(,""0"",B337)),B337)"),1402.0)</f>
        <v>1402</v>
      </c>
      <c r="E337" s="262" t="s">
        <v>822</v>
      </c>
      <c r="F337" s="263" t="str">
        <f>vlookup(B337,'Geotagging Master All-Training '!$A$2:$C$2474,2,false)</f>
        <v>#N/A</v>
      </c>
      <c r="G337" s="349" t="s">
        <v>20</v>
      </c>
      <c r="H337" s="350">
        <v>80.0</v>
      </c>
    </row>
    <row r="338" hidden="1">
      <c r="A338" s="272">
        <v>1125.0</v>
      </c>
      <c r="B338" s="272">
        <v>1125.0</v>
      </c>
      <c r="C338" s="348">
        <v>335.0</v>
      </c>
      <c r="D338" s="273">
        <f>IFERROR(__xludf.DUMMYFUNCTION("if(B338&lt;=999,if(B338&lt;=99,IF(B338&lt;=9,join(,""000"",B338),join(,""00"",B338)),join(,""0"",B338)),B338)"),1125.0)</f>
        <v>1125</v>
      </c>
      <c r="E338" s="304" t="s">
        <v>824</v>
      </c>
      <c r="F338" s="263" t="str">
        <f>vlookup(B338,'Geotagging Master All-Training '!$A$2:$C$2474,2,false)</f>
        <v>#N/A</v>
      </c>
      <c r="G338" s="351" t="s">
        <v>20</v>
      </c>
      <c r="H338" s="352" t="s">
        <v>826</v>
      </c>
    </row>
    <row r="339" hidden="1">
      <c r="A339" s="258">
        <v>681.0</v>
      </c>
      <c r="B339" s="258">
        <v>681.0</v>
      </c>
      <c r="C339" s="348">
        <v>336.0</v>
      </c>
      <c r="D339" s="260" t="str">
        <f>IFERROR(__xludf.DUMMYFUNCTION("if(B339&lt;=999,if(B339&lt;=99,IF(B339&lt;=9,join(,""000"",B339),join(,""00"",B339)),join(,""0"",B339)),B339)"),"0681")</f>
        <v>0681</v>
      </c>
      <c r="E339" s="270" t="s">
        <v>827</v>
      </c>
      <c r="F339" s="263" t="str">
        <f>vlookup(B339,'Geotagging Master All-Training '!$A$2:$C$2474,2,false)</f>
        <v>#N/A</v>
      </c>
      <c r="G339" s="349" t="s">
        <v>20</v>
      </c>
      <c r="H339" s="350" t="e">
        <v>#N/A</v>
      </c>
    </row>
    <row r="340">
      <c r="A340" s="272">
        <v>538.0</v>
      </c>
      <c r="B340" s="272">
        <v>538.0</v>
      </c>
      <c r="C340" s="353">
        <v>22.0</v>
      </c>
      <c r="D340" s="273" t="s">
        <v>1371</v>
      </c>
      <c r="E340" s="304" t="s">
        <v>323</v>
      </c>
      <c r="F340" s="303" t="s">
        <v>1336</v>
      </c>
      <c r="G340" s="351" t="s">
        <v>35</v>
      </c>
      <c r="H340" s="352" t="e">
        <v>#N/A</v>
      </c>
    </row>
    <row r="341" hidden="1">
      <c r="A341" s="258">
        <v>80.0</v>
      </c>
      <c r="B341" s="258">
        <v>80.0</v>
      </c>
      <c r="C341" s="348">
        <v>339.0</v>
      </c>
      <c r="D341" s="260" t="str">
        <f>IFERROR(__xludf.DUMMYFUNCTION("if(B341&lt;=999,if(B341&lt;=99,IF(B341&lt;=9,join(,""000"",B341),join(,""00"",B341)),join(,""0"",B341)),B341)"),"0080")</f>
        <v>0080</v>
      </c>
      <c r="E341" s="270" t="s">
        <v>832</v>
      </c>
      <c r="F341" s="263" t="str">
        <f>vlookup(B341,'Geotagging Master All-Training '!$A$2:$C$2474,2,false)</f>
        <v>#N/A</v>
      </c>
      <c r="G341" s="349" t="s">
        <v>20</v>
      </c>
      <c r="H341" s="350">
        <v>25001.0</v>
      </c>
    </row>
    <row r="342" hidden="1">
      <c r="A342" s="258">
        <v>1108.0</v>
      </c>
      <c r="B342" s="258">
        <v>1108.0</v>
      </c>
      <c r="C342" s="348">
        <v>340.0</v>
      </c>
      <c r="D342" s="260">
        <f>IFERROR(__xludf.DUMMYFUNCTION("if(B342&lt;=999,if(B342&lt;=99,IF(B342&lt;=9,join(,""000"",B342),join(,""00"",B342)),join(,""0"",B342)),B342)"),1108.0)</f>
        <v>1108</v>
      </c>
      <c r="E342" s="270" t="s">
        <v>833</v>
      </c>
      <c r="F342" s="263" t="str">
        <f>vlookup(B342,'Geotagging Master All-Training '!$A$2:$C$2474,2,false)</f>
        <v>#N/A</v>
      </c>
      <c r="G342" s="349" t="s">
        <v>20</v>
      </c>
      <c r="H342" s="350">
        <v>25001.0</v>
      </c>
    </row>
    <row r="343" hidden="1">
      <c r="A343" s="258">
        <v>236.0</v>
      </c>
      <c r="B343" s="258">
        <v>236.0</v>
      </c>
      <c r="C343" s="348">
        <v>341.0</v>
      </c>
      <c r="D343" s="260" t="str">
        <f>IFERROR(__xludf.DUMMYFUNCTION("if(B343&lt;=999,if(B343&lt;=99,IF(B343&lt;=9,join(,""000"",B343),join(,""00"",B343)),join(,""0"",B343)),B343)"),"0236")</f>
        <v>0236</v>
      </c>
      <c r="E343" s="262" t="s">
        <v>834</v>
      </c>
      <c r="F343" s="263" t="str">
        <f>vlookup(B343,'Geotagging Master All-Training '!$A$2:$C$2474,2,false)</f>
        <v>#N/A</v>
      </c>
      <c r="G343" s="349" t="s">
        <v>20</v>
      </c>
      <c r="H343" s="350" t="e">
        <v>#N/A</v>
      </c>
    </row>
    <row r="344" hidden="1">
      <c r="A344" s="258">
        <v>220.0</v>
      </c>
      <c r="B344" s="259">
        <v>220.0</v>
      </c>
      <c r="C344" s="348">
        <v>342.0</v>
      </c>
      <c r="D344" s="260" t="str">
        <f>IFERROR(__xludf.DUMMYFUNCTION("if(B344&lt;=999,if(B344&lt;=99,IF(B344&lt;=9,join(,""000"",B344),join(,""00"",B344)),join(,""0"",B344)),B344)"),"0220")</f>
        <v>0220</v>
      </c>
      <c r="E344" s="262" t="s">
        <v>838</v>
      </c>
      <c r="F344" s="263" t="str">
        <f>vlookup(B344,'Geotagging Master All-Training '!$A$2:$C$2474,2,false)</f>
        <v>#N/A</v>
      </c>
      <c r="G344" s="349" t="s">
        <v>20</v>
      </c>
      <c r="H344" s="350">
        <v>25001.0</v>
      </c>
    </row>
    <row r="345" hidden="1">
      <c r="A345" s="258">
        <v>120.0</v>
      </c>
      <c r="B345" s="258">
        <v>120.0</v>
      </c>
      <c r="C345" s="348">
        <v>343.0</v>
      </c>
      <c r="D345" s="260" t="str">
        <f>IFERROR(__xludf.DUMMYFUNCTION("if(B345&lt;=999,if(B345&lt;=99,IF(B345&lt;=9,join(,""000"",B345),join(,""00"",B345)),join(,""0"",B345)),B345)"),"0120")</f>
        <v>0120</v>
      </c>
      <c r="E345" s="270" t="s">
        <v>839</v>
      </c>
      <c r="F345" s="263" t="str">
        <f>vlookup(B345,'Geotagging Master All-Training '!$A$2:$C$2474,2,false)</f>
        <v>#N/A</v>
      </c>
      <c r="G345" s="349" t="s">
        <v>20</v>
      </c>
      <c r="H345" s="350">
        <v>80.0</v>
      </c>
    </row>
    <row r="346" hidden="1">
      <c r="A346" s="258">
        <v>1118.0</v>
      </c>
      <c r="B346" s="258">
        <v>1118.0</v>
      </c>
      <c r="C346" s="348">
        <v>344.0</v>
      </c>
      <c r="D346" s="260">
        <f>IFERROR(__xludf.DUMMYFUNCTION("if(B346&lt;=999,if(B346&lt;=99,IF(B346&lt;=9,join(,""000"",B346),join(,""00"",B346)),join(,""0"",B346)),B346)"),1118.0)</f>
        <v>1118</v>
      </c>
      <c r="E346" s="262" t="s">
        <v>840</v>
      </c>
      <c r="F346" s="263" t="str">
        <f>vlookup(B346,'Geotagging Master All-Training '!$A$2:$C$2474,2,false)</f>
        <v>#N/A</v>
      </c>
      <c r="G346" s="349" t="s">
        <v>20</v>
      </c>
      <c r="H346" s="350" t="e">
        <v>#N/A</v>
      </c>
    </row>
    <row r="347" hidden="1">
      <c r="A347" s="272">
        <v>213.0</v>
      </c>
      <c r="B347" s="272">
        <v>213.0</v>
      </c>
      <c r="C347" s="348">
        <v>345.0</v>
      </c>
      <c r="D347" s="273" t="str">
        <f>IFERROR(__xludf.DUMMYFUNCTION("if(B347&lt;=999,if(B347&lt;=99,IF(B347&lt;=9,join(,""000"",B347),join(,""00"",B347)),join(,""0"",B347)),B347)"),"0213")</f>
        <v>0213</v>
      </c>
      <c r="E347" s="274" t="s">
        <v>844</v>
      </c>
      <c r="F347" s="263" t="str">
        <f>vlookup(B347,'Geotagging Master All-Training '!$A$2:$C$2474,2,false)</f>
        <v>#N/A</v>
      </c>
      <c r="G347" s="351" t="s">
        <v>20</v>
      </c>
      <c r="H347" s="352">
        <v>37777.0</v>
      </c>
    </row>
    <row r="348" hidden="1">
      <c r="A348" s="258">
        <v>112.0</v>
      </c>
      <c r="B348" s="259">
        <v>112.0</v>
      </c>
      <c r="C348" s="348">
        <v>346.0</v>
      </c>
      <c r="D348" s="260" t="str">
        <f>IFERROR(__xludf.DUMMYFUNCTION("if(B348&lt;=999,if(B348&lt;=99,IF(B348&lt;=9,join(,""000"",B348),join(,""00"",B348)),join(,""0"",B348)),B348)"),"0112")</f>
        <v>0112</v>
      </c>
      <c r="E348" s="270" t="s">
        <v>846</v>
      </c>
      <c r="F348" s="263" t="str">
        <f>vlookup(B348,'Geotagging Master All-Training '!$A$2:$C$2474,2,false)</f>
        <v>#N/A</v>
      </c>
      <c r="G348" s="349" t="s">
        <v>20</v>
      </c>
      <c r="H348" s="350"/>
    </row>
    <row r="349" hidden="1">
      <c r="A349" s="272">
        <v>740.0</v>
      </c>
      <c r="B349" s="272">
        <v>740.0</v>
      </c>
      <c r="C349" s="353">
        <v>348.0</v>
      </c>
      <c r="D349" s="273" t="str">
        <f>IFERROR(__xludf.DUMMYFUNCTION("if(B349&lt;=999,if(B349&lt;=99,IF(B349&lt;=9,join(,""000"",B349),join(,""00"",B349)),join(,""0"",B349)),B349)"),"0740")</f>
        <v>0740</v>
      </c>
      <c r="E349" s="304" t="s">
        <v>848</v>
      </c>
      <c r="F349" s="303" t="str">
        <f>vlookup(B349,'Geotagging Master All-Training '!$A$2:$C$2474,2,false)</f>
        <v>#N/A</v>
      </c>
      <c r="G349" s="351" t="s">
        <v>20</v>
      </c>
      <c r="H349" s="352" t="e">
        <v>#N/A</v>
      </c>
    </row>
    <row r="350" hidden="1">
      <c r="A350" s="272">
        <v>358.0</v>
      </c>
      <c r="B350" s="272">
        <v>358.0</v>
      </c>
      <c r="C350" s="353">
        <v>356.0</v>
      </c>
      <c r="D350" s="273" t="str">
        <f>IFERROR(__xludf.DUMMYFUNCTION("if(B350&lt;=999,if(B350&lt;=99,IF(B350&lt;=9,join(,""000"",B350),join(,""00"",B350)),join(,""0"",B350)),B350)"),"0358")</f>
        <v>0358</v>
      </c>
      <c r="E350" s="304" t="s">
        <v>860</v>
      </c>
      <c r="F350" s="303" t="str">
        <f>vlookup(B350,'Geotagging Master All-Training '!$A$2:$C$2474,2,false)</f>
        <v>#N/A</v>
      </c>
      <c r="G350" s="351" t="s">
        <v>20</v>
      </c>
      <c r="H350" s="352" t="e">
        <v>#N/A</v>
      </c>
    </row>
    <row r="351" hidden="1">
      <c r="A351" s="258">
        <v>950.0</v>
      </c>
      <c r="B351" s="258">
        <v>950.0</v>
      </c>
      <c r="C351" s="348">
        <v>349.0</v>
      </c>
      <c r="D351" s="260" t="str">
        <f>IFERROR(__xludf.DUMMYFUNCTION("if(B351&lt;=999,if(B351&lt;=99,IF(B351&lt;=9,join(,""000"",B351),join(,""00"",B351)),join(,""0"",B351)),B351)"),"0950")</f>
        <v>0950</v>
      </c>
      <c r="E351" s="262" t="s">
        <v>849</v>
      </c>
      <c r="F351" s="263" t="str">
        <f>vlookup(B351,'Geotagging Master All-Training '!$A$2:$C$2474,2,false)</f>
        <v>#N/A</v>
      </c>
      <c r="G351" s="349" t="s">
        <v>20</v>
      </c>
      <c r="H351" s="350">
        <v>8080.0</v>
      </c>
    </row>
    <row r="352" hidden="1">
      <c r="A352" s="258">
        <v>1244.0</v>
      </c>
      <c r="B352" s="259">
        <v>1244.0</v>
      </c>
      <c r="C352" s="348">
        <v>350.0</v>
      </c>
      <c r="D352" s="260">
        <f>IFERROR(__xludf.DUMMYFUNCTION("if(B352&lt;=999,if(B352&lt;=99,IF(B352&lt;=9,join(,""000"",B352),join(,""00"",B352)),join(,""0"",B352)),B352)"),1244.0)</f>
        <v>1244</v>
      </c>
      <c r="E352" s="262" t="s">
        <v>851</v>
      </c>
      <c r="F352" s="263" t="str">
        <f>vlookup(B352,'Geotagging Master All-Training '!$A$2:$C$2474,2,false)</f>
        <v>#N/A</v>
      </c>
      <c r="G352" s="349" t="s">
        <v>20</v>
      </c>
      <c r="H352" s="350" t="e">
        <v>#N/A</v>
      </c>
    </row>
    <row r="353" hidden="1">
      <c r="A353" s="258">
        <v>815.0</v>
      </c>
      <c r="B353" s="258">
        <v>815.0</v>
      </c>
      <c r="C353" s="348">
        <v>351.0</v>
      </c>
      <c r="D353" s="260" t="str">
        <f>IFERROR(__xludf.DUMMYFUNCTION("if(B353&lt;=999,if(B353&lt;=99,IF(B353&lt;=9,join(,""000"",B353),join(,""00"",B353)),join(,""0"",B353)),B353)"),"0815")</f>
        <v>0815</v>
      </c>
      <c r="E353" s="270" t="s">
        <v>801</v>
      </c>
      <c r="F353" s="263" t="str">
        <f>vlookup(B353,'Geotagging Master All-Training '!$A$2:$C$2474,2,false)</f>
        <v>#N/A</v>
      </c>
      <c r="G353" s="349" t="s">
        <v>20</v>
      </c>
      <c r="H353" s="350">
        <v>37777.0</v>
      </c>
    </row>
    <row r="354" hidden="1">
      <c r="A354" s="258">
        <v>37.0</v>
      </c>
      <c r="B354" s="259">
        <v>37.0</v>
      </c>
      <c r="C354" s="348">
        <v>352.0</v>
      </c>
      <c r="D354" s="260" t="str">
        <f>IFERROR(__xludf.DUMMYFUNCTION("if(B354&lt;=999,if(B354&lt;=99,IF(B354&lt;=9,join(,""000"",B354),join(,""00"",B354)),join(,""0"",B354)),B354)"),"0037")</f>
        <v>0037</v>
      </c>
      <c r="E354" s="262" t="s">
        <v>853</v>
      </c>
      <c r="F354" s="263" t="str">
        <f>vlookup(B354,'Geotagging Master All-Training '!$A$2:$C$2474,2,false)</f>
        <v>#N/A</v>
      </c>
      <c r="G354" s="349" t="s">
        <v>20</v>
      </c>
      <c r="H354" s="350" t="e">
        <v>#N/A</v>
      </c>
    </row>
    <row r="355" hidden="1">
      <c r="A355" s="258">
        <v>723.0</v>
      </c>
      <c r="B355" s="258">
        <v>723.0</v>
      </c>
      <c r="C355" s="348">
        <v>353.0</v>
      </c>
      <c r="D355" s="260" t="str">
        <f>IFERROR(__xludf.DUMMYFUNCTION("if(B355&lt;=999,if(B355&lt;=99,IF(B355&lt;=9,join(,""000"",B355),join(,""00"",B355)),join(,""0"",B355)),B355)"),"0723")</f>
        <v>0723</v>
      </c>
      <c r="E355" s="262" t="s">
        <v>856</v>
      </c>
      <c r="F355" s="263" t="str">
        <f>vlookup(B355,'Geotagging Master All-Training '!$A$2:$C$2474,2,false)</f>
        <v>#N/A</v>
      </c>
      <c r="G355" s="349" t="s">
        <v>20</v>
      </c>
      <c r="H355" s="350" t="e">
        <v>#N/A</v>
      </c>
    </row>
    <row r="356" hidden="1">
      <c r="A356" s="258">
        <v>1086.0</v>
      </c>
      <c r="B356" s="258">
        <v>1086.0</v>
      </c>
      <c r="C356" s="348">
        <v>354.0</v>
      </c>
      <c r="D356" s="260">
        <f>IFERROR(__xludf.DUMMYFUNCTION("if(B356&lt;=999,if(B356&lt;=99,IF(B356&lt;=9,join(,""000"",B356),join(,""00"",B356)),join(,""0"",B356)),B356)"),1086.0)</f>
        <v>1086</v>
      </c>
      <c r="E356" s="270" t="s">
        <v>857</v>
      </c>
      <c r="F356" s="263" t="str">
        <f>vlookup(B356,'Geotagging Master All-Training '!$A$2:$C$2474,2,false)</f>
        <v>#N/A</v>
      </c>
      <c r="G356" s="349" t="s">
        <v>20</v>
      </c>
      <c r="H356" s="350"/>
    </row>
    <row r="357" hidden="1">
      <c r="A357" s="258">
        <v>71.0</v>
      </c>
      <c r="B357" s="258">
        <v>71.0</v>
      </c>
      <c r="C357" s="348">
        <v>355.0</v>
      </c>
      <c r="D357" s="260" t="str">
        <f>IFERROR(__xludf.DUMMYFUNCTION("if(B357&lt;=999,if(B357&lt;=99,IF(B357&lt;=9,join(,""000"",B357),join(,""00"",B357)),join(,""0"",B357)),B357)"),"0071")</f>
        <v>0071</v>
      </c>
      <c r="E357" s="270" t="s">
        <v>859</v>
      </c>
      <c r="F357" s="263" t="str">
        <f>vlookup(B357,'Geotagging Master All-Training '!$A$2:$C$2474,2,false)</f>
        <v>#N/A</v>
      </c>
      <c r="G357" s="349" t="s">
        <v>20</v>
      </c>
      <c r="H357" s="350"/>
    </row>
    <row r="358" hidden="1">
      <c r="A358" s="272">
        <v>1363.0</v>
      </c>
      <c r="B358" s="272">
        <v>1363.0</v>
      </c>
      <c r="C358" s="353">
        <v>368.0</v>
      </c>
      <c r="D358" s="273">
        <f>IFERROR(__xludf.DUMMYFUNCTION("if(B358&lt;=999,if(B358&lt;=99,IF(B358&lt;=9,join(,""000"",B358),join(,""00"",B358)),join(,""0"",B358)),B358)"),1363.0)</f>
        <v>1363</v>
      </c>
      <c r="E358" s="304" t="s">
        <v>885</v>
      </c>
      <c r="F358" s="303" t="str">
        <f>vlookup(B358,'Geotagging Master All-Training '!$A$2:$C$2474,2,false)</f>
        <v>#N/A</v>
      </c>
      <c r="G358" s="351" t="s">
        <v>20</v>
      </c>
      <c r="H358" s="352" t="e">
        <v>#N/A</v>
      </c>
    </row>
    <row r="359" hidden="1">
      <c r="A359" s="258">
        <v>1240.0</v>
      </c>
      <c r="B359" s="258">
        <v>1240.0</v>
      </c>
      <c r="C359" s="348">
        <v>357.0</v>
      </c>
      <c r="D359" s="260">
        <f>IFERROR(__xludf.DUMMYFUNCTION("if(B359&lt;=999,if(B359&lt;=99,IF(B359&lt;=9,join(,""000"",B359),join(,""00"",B359)),join(,""0"",B359)),B359)"),1240.0)</f>
        <v>1240</v>
      </c>
      <c r="E359" s="270" t="s">
        <v>861</v>
      </c>
      <c r="F359" s="263" t="str">
        <f>vlookup(B359,'Geotagging Master All-Training '!$A$2:$C$2474,2,false)</f>
        <v>#N/A</v>
      </c>
      <c r="G359" s="349" t="s">
        <v>20</v>
      </c>
      <c r="H359" s="350">
        <v>8008.0</v>
      </c>
    </row>
    <row r="360" hidden="1">
      <c r="A360" s="258">
        <v>1446.0</v>
      </c>
      <c r="B360" s="258">
        <v>1446.0</v>
      </c>
      <c r="C360" s="348">
        <v>358.0</v>
      </c>
      <c r="D360" s="260">
        <f>IFERROR(__xludf.DUMMYFUNCTION("if(B360&lt;=999,if(B360&lt;=99,IF(B360&lt;=9,join(,""000"",B360),join(,""00"",B360)),join(,""0"",B360)),B360)"),1446.0)</f>
        <v>1446</v>
      </c>
      <c r="E360" s="270" t="s">
        <v>865</v>
      </c>
      <c r="F360" s="263" t="str">
        <f>vlookup(B360,'Geotagging Master All-Training '!$A$2:$C$2474,2,false)</f>
        <v>#N/A</v>
      </c>
      <c r="G360" s="349" t="s">
        <v>20</v>
      </c>
      <c r="H360" s="350">
        <v>8008.0</v>
      </c>
    </row>
    <row r="361" hidden="1">
      <c r="A361" s="258">
        <v>1146.0</v>
      </c>
      <c r="B361" s="258">
        <v>1146.0</v>
      </c>
      <c r="C361" s="348">
        <v>359.0</v>
      </c>
      <c r="D361" s="260">
        <f>IFERROR(__xludf.DUMMYFUNCTION("if(B361&lt;=999,if(B361&lt;=99,IF(B361&lt;=9,join(,""000"",B361),join(,""00"",B361)),join(,""0"",B361)),B361)"),1146.0)</f>
        <v>1146</v>
      </c>
      <c r="E361" s="270" t="s">
        <v>866</v>
      </c>
      <c r="F361" s="263" t="str">
        <f>vlookup(B361,'Geotagging Master All-Training '!$A$2:$C$2474,2,false)</f>
        <v>#N/A</v>
      </c>
      <c r="G361" s="349" t="s">
        <v>20</v>
      </c>
      <c r="H361" s="350">
        <v>8008.0</v>
      </c>
    </row>
    <row r="362" hidden="1">
      <c r="A362" s="258">
        <v>60.0</v>
      </c>
      <c r="B362" s="258">
        <v>60.0</v>
      </c>
      <c r="C362" s="348">
        <v>360.0</v>
      </c>
      <c r="D362" s="260" t="str">
        <f>IFERROR(__xludf.DUMMYFUNCTION("if(B362&lt;=999,if(B362&lt;=99,IF(B362&lt;=9,join(,""000"",B362),join(,""00"",B362)),join(,""0"",B362)),B362)"),"0060")</f>
        <v>0060</v>
      </c>
      <c r="E362" s="270" t="s">
        <v>867</v>
      </c>
      <c r="F362" s="263" t="str">
        <f>vlookup(B362,'Geotagging Master All-Training '!$A$2:$C$2474,2,false)</f>
        <v>#N/A</v>
      </c>
      <c r="G362" s="349" t="s">
        <v>20</v>
      </c>
      <c r="H362" s="350">
        <v>1080.0</v>
      </c>
    </row>
    <row r="363" hidden="1">
      <c r="A363" s="272">
        <v>1346.0</v>
      </c>
      <c r="B363" s="272">
        <v>1346.0</v>
      </c>
      <c r="C363" s="348">
        <v>361.0</v>
      </c>
      <c r="D363" s="273">
        <f>IFERROR(__xludf.DUMMYFUNCTION("if(B363&lt;=999,if(B363&lt;=99,IF(B363&lt;=9,join(,""000"",B363),join(,""00"",B363)),join(,""0"",B363)),B363)"),1346.0)</f>
        <v>1346</v>
      </c>
      <c r="E363" s="274" t="s">
        <v>868</v>
      </c>
      <c r="F363" s="263" t="str">
        <f>vlookup(B363,'Geotagging Master All-Training '!$A$2:$C$2474,2,false)</f>
        <v>#N/A</v>
      </c>
      <c r="G363" s="351" t="s">
        <v>20</v>
      </c>
      <c r="H363" s="352">
        <v>8000.0</v>
      </c>
    </row>
    <row r="364" hidden="1">
      <c r="A364" s="258">
        <v>831.0</v>
      </c>
      <c r="B364" s="258">
        <v>831.0</v>
      </c>
      <c r="C364" s="348">
        <v>362.0</v>
      </c>
      <c r="D364" s="260" t="str">
        <f>IFERROR(__xludf.DUMMYFUNCTION("if(B364&lt;=999,if(B364&lt;=99,IF(B364&lt;=9,join(,""000"",B364),join(,""00"",B364)),join(,""0"",B364)),B364)"),"0831")</f>
        <v>0831</v>
      </c>
      <c r="E364" s="270" t="s">
        <v>872</v>
      </c>
      <c r="F364" s="263" t="str">
        <f>vlookup(B364,'Geotagging Master All-Training '!$A$2:$C$2474,2,false)</f>
        <v>#N/A</v>
      </c>
      <c r="G364" s="349" t="s">
        <v>20</v>
      </c>
      <c r="H364" s="350">
        <v>36666.0</v>
      </c>
    </row>
    <row r="365" hidden="1">
      <c r="A365" s="258">
        <v>25.0</v>
      </c>
      <c r="B365" s="258">
        <v>25.0</v>
      </c>
      <c r="C365" s="348">
        <v>363.0</v>
      </c>
      <c r="D365" s="260" t="str">
        <f>IFERROR(__xludf.DUMMYFUNCTION("if(B365&lt;=999,if(B365&lt;=99,IF(B365&lt;=9,join(,""000"",B365),join(,""00"",B365)),join(,""0"",B365)),B365)"),"0025")</f>
        <v>0025</v>
      </c>
      <c r="E365" s="262" t="s">
        <v>875</v>
      </c>
      <c r="F365" s="263" t="str">
        <f>vlookup(B365,'Geotagging Master All-Training '!$A$2:$C$2474,2,false)</f>
        <v>#N/A</v>
      </c>
      <c r="G365" s="349" t="s">
        <v>20</v>
      </c>
      <c r="H365" s="350">
        <v>80.0</v>
      </c>
    </row>
    <row r="366" hidden="1">
      <c r="A366" s="258">
        <v>1375.0</v>
      </c>
      <c r="B366" s="258">
        <v>1375.0</v>
      </c>
      <c r="C366" s="348">
        <v>364.0</v>
      </c>
      <c r="D366" s="260">
        <f>IFERROR(__xludf.DUMMYFUNCTION("if(B366&lt;=999,if(B366&lt;=99,IF(B366&lt;=9,join(,""000"",B366),join(,""00"",B366)),join(,""0"",B366)),B366)"),1375.0)</f>
        <v>1375</v>
      </c>
      <c r="E366" s="262" t="s">
        <v>877</v>
      </c>
      <c r="F366" s="263" t="str">
        <f>vlookup(B366,'Geotagging Master All-Training '!$A$2:$C$2474,2,false)</f>
        <v>#N/A</v>
      </c>
      <c r="G366" s="349" t="s">
        <v>20</v>
      </c>
      <c r="H366" s="350">
        <v>80.0</v>
      </c>
    </row>
    <row r="367" hidden="1">
      <c r="A367" s="258">
        <v>1128.0</v>
      </c>
      <c r="B367" s="258">
        <v>1128.0</v>
      </c>
      <c r="C367" s="348">
        <v>365.0</v>
      </c>
      <c r="D367" s="260">
        <f>IFERROR(__xludf.DUMMYFUNCTION("if(B367&lt;=999,if(B367&lt;=99,IF(B367&lt;=9,join(,""000"",B367),join(,""00"",B367)),join(,""0"",B367)),B367)"),1128.0)</f>
        <v>1128</v>
      </c>
      <c r="E367" s="270" t="s">
        <v>879</v>
      </c>
      <c r="F367" s="263" t="str">
        <f>vlookup(B367,'Geotagging Master All-Training '!$A$2:$C$2474,2,false)</f>
        <v>#N/A</v>
      </c>
      <c r="G367" s="349" t="s">
        <v>20</v>
      </c>
      <c r="H367" s="350"/>
    </row>
    <row r="368" hidden="1">
      <c r="A368" s="258">
        <v>631.0</v>
      </c>
      <c r="B368" s="259">
        <v>631.0</v>
      </c>
      <c r="C368" s="348">
        <v>366.0</v>
      </c>
      <c r="D368" s="260" t="str">
        <f>IFERROR(__xludf.DUMMYFUNCTION("if(B368&lt;=999,if(B368&lt;=99,IF(B368&lt;=9,join(,""000"",B368),join(,""00"",B368)),join(,""0"",B368)),B368)"),"0631")</f>
        <v>0631</v>
      </c>
      <c r="E368" s="262" t="s">
        <v>881</v>
      </c>
      <c r="F368" s="263" t="str">
        <f>vlookup(B368,'Geotagging Master All-Training '!$A$2:$C$2474,2,false)</f>
        <v>#N/A</v>
      </c>
      <c r="G368" s="349" t="s">
        <v>20</v>
      </c>
      <c r="H368" s="350"/>
    </row>
    <row r="369" hidden="1">
      <c r="A369" s="258">
        <v>1463.0</v>
      </c>
      <c r="B369" s="258">
        <v>1463.0</v>
      </c>
      <c r="C369" s="348">
        <v>367.0</v>
      </c>
      <c r="D369" s="260">
        <f>IFERROR(__xludf.DUMMYFUNCTION("if(B369&lt;=999,if(B369&lt;=99,IF(B369&lt;=9,join(,""000"",B369),join(,""00"",B369)),join(,""0"",B369)),B369)"),1463.0)</f>
        <v>1463</v>
      </c>
      <c r="E369" s="262" t="s">
        <v>882</v>
      </c>
      <c r="F369" s="263" t="str">
        <f>vlookup(B369,'Geotagging Master All-Training '!$A$2:$C$2474,2,false)</f>
        <v>#N/A</v>
      </c>
      <c r="G369" s="349" t="s">
        <v>20</v>
      </c>
      <c r="H369" s="350">
        <v>80554.0</v>
      </c>
    </row>
    <row r="370">
      <c r="A370" s="272">
        <v>1266.0</v>
      </c>
      <c r="B370" s="272">
        <v>1266.0</v>
      </c>
      <c r="C370" s="353">
        <v>23.0</v>
      </c>
      <c r="D370" s="273">
        <v>1266.0</v>
      </c>
      <c r="E370" s="304" t="s">
        <v>919</v>
      </c>
      <c r="F370" s="303" t="s">
        <v>1344</v>
      </c>
      <c r="G370" s="351" t="s">
        <v>35</v>
      </c>
      <c r="H370" s="352" t="e">
        <v>#N/A</v>
      </c>
    </row>
    <row r="371" hidden="1">
      <c r="A371" s="258">
        <v>1029.0</v>
      </c>
      <c r="B371" s="258">
        <v>1029.0</v>
      </c>
      <c r="C371" s="348">
        <v>369.0</v>
      </c>
      <c r="D371" s="260">
        <f>IFERROR(__xludf.DUMMYFUNCTION("if(B371&lt;=999,if(B371&lt;=99,IF(B371&lt;=9,join(,""000"",B371),join(,""00"",B371)),join(,""0"",B371)),B371)"),1029.0)</f>
        <v>1029</v>
      </c>
      <c r="E371" s="262" t="s">
        <v>886</v>
      </c>
      <c r="F371" s="263" t="str">
        <f>vlookup(B371,'Geotagging Master All-Training '!$A$2:$C$2474,2,false)</f>
        <v>#N/A</v>
      </c>
      <c r="G371" s="349" t="s">
        <v>20</v>
      </c>
      <c r="H371" s="350">
        <v>80.0</v>
      </c>
    </row>
    <row r="372" hidden="1">
      <c r="A372" s="258">
        <v>1350.0</v>
      </c>
      <c r="B372" s="258">
        <v>1350.0</v>
      </c>
      <c r="C372" s="348">
        <v>370.0</v>
      </c>
      <c r="D372" s="260">
        <f>IFERROR(__xludf.DUMMYFUNCTION("if(B372&lt;=999,if(B372&lt;=99,IF(B372&lt;=9,join(,""000"",B372),join(,""00"",B372)),join(,""0"",B372)),B372)"),1350.0)</f>
        <v>1350</v>
      </c>
      <c r="E372" s="270" t="s">
        <v>889</v>
      </c>
      <c r="F372" s="263" t="str">
        <f>vlookup(B372,'Geotagging Master All-Training '!$A$2:$C$2474,2,false)</f>
        <v>#N/A</v>
      </c>
      <c r="G372" s="349" t="s">
        <v>20</v>
      </c>
      <c r="H372" s="350">
        <v>32.0</v>
      </c>
    </row>
    <row r="373" hidden="1">
      <c r="A373" s="272">
        <v>1093.0</v>
      </c>
      <c r="B373" s="272">
        <v>1093.0</v>
      </c>
      <c r="C373" s="348">
        <v>371.0</v>
      </c>
      <c r="D373" s="273">
        <f>IFERROR(__xludf.DUMMYFUNCTION("if(B373&lt;=999,if(B373&lt;=99,IF(B373&lt;=9,join(,""000"",B373),join(,""00"",B373)),join(,""0"",B373)),B373)"),1093.0)</f>
        <v>1093</v>
      </c>
      <c r="E373" s="274" t="s">
        <v>890</v>
      </c>
      <c r="F373" s="263" t="str">
        <f>vlookup(B373,'Geotagging Master All-Training '!$A$2:$C$2474,2,false)</f>
        <v>#N/A</v>
      </c>
      <c r="G373" s="351" t="s">
        <v>20</v>
      </c>
      <c r="H373" s="352">
        <v>16.0</v>
      </c>
    </row>
    <row r="374" hidden="1">
      <c r="A374" s="258">
        <v>1222.0</v>
      </c>
      <c r="B374" s="258">
        <v>1222.0</v>
      </c>
      <c r="C374" s="348">
        <v>372.0</v>
      </c>
      <c r="D374" s="260">
        <f>IFERROR(__xludf.DUMMYFUNCTION("if(B374&lt;=999,if(B374&lt;=99,IF(B374&lt;=9,join(,""000"",B374),join(,""00"",B374)),join(,""0"",B374)),B374)"),1222.0)</f>
        <v>1222</v>
      </c>
      <c r="E374" s="262" t="s">
        <v>894</v>
      </c>
      <c r="F374" s="263" t="str">
        <f>vlookup(B374,'Geotagging Master All-Training '!$A$2:$C$2474,2,false)</f>
        <v>#N/A</v>
      </c>
      <c r="G374" s="349" t="s">
        <v>20</v>
      </c>
      <c r="H374" s="350">
        <v>25001.0</v>
      </c>
    </row>
    <row r="375" hidden="1">
      <c r="A375" s="258">
        <v>1023.0</v>
      </c>
      <c r="B375" s="258">
        <v>1023.0</v>
      </c>
      <c r="C375" s="348">
        <v>373.0</v>
      </c>
      <c r="D375" s="260">
        <f>IFERROR(__xludf.DUMMYFUNCTION("if(B375&lt;=999,if(B375&lt;=99,IF(B375&lt;=9,join(,""000"",B375),join(,""00"",B375)),join(,""0"",B375)),B375)"),1023.0)</f>
        <v>1023</v>
      </c>
      <c r="E375" s="262" t="s">
        <v>896</v>
      </c>
      <c r="F375" s="263" t="str">
        <f>vlookup(B375,'Geotagging Master All-Training '!$A$2:$C$2474,2,false)</f>
        <v>#N/A</v>
      </c>
      <c r="G375" s="349" t="s">
        <v>20</v>
      </c>
      <c r="H375" s="350">
        <v>25001.0</v>
      </c>
    </row>
    <row r="376" hidden="1">
      <c r="A376" s="258">
        <v>1222.0</v>
      </c>
      <c r="B376" s="258">
        <v>1222.0</v>
      </c>
      <c r="C376" s="348">
        <v>374.0</v>
      </c>
      <c r="D376" s="260">
        <v>1222.0</v>
      </c>
      <c r="E376" s="262" t="s">
        <v>896</v>
      </c>
      <c r="F376" s="263" t="str">
        <f>vlookup(B376,'Geotagging Master All-Training '!$A$2:$C$2474,2,false)</f>
        <v>#N/A</v>
      </c>
      <c r="G376" s="349" t="s">
        <v>20</v>
      </c>
      <c r="H376" s="350">
        <v>25001.0</v>
      </c>
    </row>
    <row r="377" hidden="1">
      <c r="A377" s="258">
        <v>1421.0</v>
      </c>
      <c r="B377" s="258">
        <v>1421.0</v>
      </c>
      <c r="C377" s="348">
        <v>375.0</v>
      </c>
      <c r="D377" s="260">
        <f>IFERROR(__xludf.DUMMYFUNCTION("if(B377&lt;=999,if(B377&lt;=99,IF(B377&lt;=9,join(,""000"",B377),join(,""00"",B377)),join(,""0"",B377)),B377)"),1421.0)</f>
        <v>1421</v>
      </c>
      <c r="E377" s="262" t="s">
        <v>898</v>
      </c>
      <c r="F377" s="263" t="str">
        <f>vlookup(B377,'Geotagging Master All-Training '!$A$2:$C$2474,2,false)</f>
        <v>#N/A</v>
      </c>
      <c r="G377" s="349" t="s">
        <v>20</v>
      </c>
      <c r="H377" s="350"/>
    </row>
    <row r="378" hidden="1">
      <c r="A378" s="258">
        <v>1260.0</v>
      </c>
      <c r="B378" s="258">
        <v>1260.0</v>
      </c>
      <c r="C378" s="348">
        <v>376.0</v>
      </c>
      <c r="D378" s="260">
        <f>IFERROR(__xludf.DUMMYFUNCTION("if(B378&lt;=999,if(B378&lt;=99,IF(B378&lt;=9,join(,""000"",B378),join(,""00"",B378)),join(,""0"",B378)),B378)"),1260.0)</f>
        <v>1260</v>
      </c>
      <c r="E378" s="262" t="s">
        <v>900</v>
      </c>
      <c r="F378" s="263" t="str">
        <f>vlookup(B378,'Geotagging Master All-Training '!$A$2:$C$2474,2,false)</f>
        <v>#N/A</v>
      </c>
      <c r="G378" s="349" t="s">
        <v>20</v>
      </c>
      <c r="H378" s="350">
        <v>8000.0</v>
      </c>
    </row>
    <row r="379" hidden="1">
      <c r="A379" s="258">
        <v>36.0</v>
      </c>
      <c r="B379" s="259">
        <v>36.0</v>
      </c>
      <c r="C379" s="348">
        <v>377.0</v>
      </c>
      <c r="D379" s="260" t="str">
        <f>IFERROR(__xludf.DUMMYFUNCTION("if(B379&lt;=999,if(B379&lt;=99,IF(B379&lt;=9,join(,""000"",B379),join(,""00"",B379)),join(,""0"",B379)),B379)"),"0036")</f>
        <v>0036</v>
      </c>
      <c r="E379" s="262" t="s">
        <v>903</v>
      </c>
      <c r="F379" s="263" t="str">
        <f>vlookup(B379,'Geotagging Master All-Training '!$A$2:$C$2474,2,false)</f>
        <v>#N/A</v>
      </c>
      <c r="G379" s="349" t="s">
        <v>20</v>
      </c>
      <c r="H379" s="350" t="s">
        <v>905</v>
      </c>
    </row>
    <row r="380" hidden="1">
      <c r="A380" s="258">
        <v>796.0</v>
      </c>
      <c r="B380" s="259">
        <v>796.0</v>
      </c>
      <c r="C380" s="348">
        <v>378.0</v>
      </c>
      <c r="D380" s="260" t="str">
        <f>IFERROR(__xludf.DUMMYFUNCTION("if(B380&lt;=999,if(B380&lt;=99,IF(B380&lt;=9,join(,""000"",B380),join(,""00"",B380)),join(,""0"",B380)),B380)"),"0796")</f>
        <v>0796</v>
      </c>
      <c r="E380" s="262" t="s">
        <v>908</v>
      </c>
      <c r="F380" s="263" t="str">
        <f>vlookup(B380,'Geotagging Master All-Training '!$A$2:$C$2474,2,false)</f>
        <v>#N/A</v>
      </c>
      <c r="G380" s="349" t="s">
        <v>20</v>
      </c>
      <c r="H380" s="350" t="s">
        <v>910</v>
      </c>
    </row>
    <row r="381" hidden="1">
      <c r="A381" s="272">
        <v>250.0</v>
      </c>
      <c r="B381" s="272">
        <v>250.0</v>
      </c>
      <c r="C381" s="348">
        <v>379.0</v>
      </c>
      <c r="D381" s="273" t="str">
        <f>IFERROR(__xludf.DUMMYFUNCTION("if(B381&lt;=999,if(B381&lt;=99,IF(B381&lt;=9,join(,""000"",B381),join(,""00"",B381)),join(,""0"",B381)),B381)"),"0250")</f>
        <v>0250</v>
      </c>
      <c r="E381" s="304" t="s">
        <v>912</v>
      </c>
      <c r="F381" s="263" t="str">
        <f>vlookup(B381,'Geotagging Master All-Training '!$A$2:$C$2474,2,false)</f>
        <v>#N/A</v>
      </c>
      <c r="G381" s="351" t="s">
        <v>20</v>
      </c>
      <c r="H381" s="352">
        <v>22.0</v>
      </c>
    </row>
    <row r="382" hidden="1">
      <c r="A382" s="258">
        <v>1410.0</v>
      </c>
      <c r="B382" s="258">
        <v>1410.0</v>
      </c>
      <c r="C382" s="348">
        <v>380.0</v>
      </c>
      <c r="D382" s="260">
        <f>IFERROR(__xludf.DUMMYFUNCTION("if(B382&lt;=999,if(B382&lt;=99,IF(B382&lt;=9,join(,""000"",B382),join(,""00"",B382)),join(,""0"",B382)),B382)"),1410.0)</f>
        <v>1410</v>
      </c>
      <c r="E382" s="262" t="s">
        <v>915</v>
      </c>
      <c r="F382" s="263" t="str">
        <f>vlookup(B382,'Geotagging Master All-Training '!$A$2:$C$2474,2,false)</f>
        <v>#N/A</v>
      </c>
      <c r="G382" s="349" t="s">
        <v>20</v>
      </c>
      <c r="H382" s="350" t="s">
        <v>916</v>
      </c>
    </row>
    <row r="383" hidden="1">
      <c r="A383" s="258">
        <v>794.0</v>
      </c>
      <c r="B383" s="258">
        <v>794.0</v>
      </c>
      <c r="C383" s="348">
        <v>381.0</v>
      </c>
      <c r="D383" s="260" t="str">
        <f>IFERROR(__xludf.DUMMYFUNCTION("if(B383&lt;=999,if(B383&lt;=99,IF(B383&lt;=9,join(,""000"",B383),join(,""00"",B383)),join(,""0"",B383)),B383)"),"0794")</f>
        <v>0794</v>
      </c>
      <c r="E383" s="270" t="s">
        <v>1219</v>
      </c>
      <c r="F383" s="263" t="str">
        <f>vlookup(B383,'Geotagging Master All-Training '!$A$2:$C$2474,2,false)</f>
        <v>#N/A</v>
      </c>
      <c r="G383" s="349" t="s">
        <v>20</v>
      </c>
      <c r="H383" s="350"/>
    </row>
    <row r="384">
      <c r="A384" s="272">
        <v>70.0</v>
      </c>
      <c r="B384" s="272">
        <v>70.0</v>
      </c>
      <c r="C384" s="353">
        <v>24.0</v>
      </c>
      <c r="D384" s="273" t="s">
        <v>1374</v>
      </c>
      <c r="E384" s="304" t="s">
        <v>920</v>
      </c>
      <c r="F384" s="303" t="s">
        <v>1344</v>
      </c>
      <c r="G384" s="351" t="s">
        <v>35</v>
      </c>
      <c r="H384" s="352" t="e">
        <v>#N/A</v>
      </c>
    </row>
    <row r="385" hidden="1">
      <c r="A385" s="272">
        <v>196.0</v>
      </c>
      <c r="B385" s="272">
        <v>196.0</v>
      </c>
      <c r="C385" s="353">
        <v>388.0</v>
      </c>
      <c r="D385" s="273" t="str">
        <f>IFERROR(__xludf.DUMMYFUNCTION("if(B385&lt;=999,if(B385&lt;=99,IF(B385&lt;=9,join(,""000"",B385),join(,""00"",B385)),join(,""0"",B385)),B385)"),"0196")</f>
        <v>0196</v>
      </c>
      <c r="E385" s="304" t="s">
        <v>265</v>
      </c>
      <c r="F385" s="303" t="str">
        <f>vlookup(B385,'Geotagging Master All-Training '!$A$2:$C$2474,2,false)</f>
        <v>#N/A</v>
      </c>
      <c r="G385" s="349" t="s">
        <v>20</v>
      </c>
      <c r="H385" s="350" t="s">
        <v>266</v>
      </c>
    </row>
    <row r="386" hidden="1">
      <c r="A386" s="258">
        <v>85.0</v>
      </c>
      <c r="B386" s="258">
        <v>85.0</v>
      </c>
      <c r="C386" s="348">
        <v>384.0</v>
      </c>
      <c r="D386" s="260" t="str">
        <f>IFERROR(__xludf.DUMMYFUNCTION("if(B386&lt;=999,if(B386&lt;=99,IF(B386&lt;=9,join(,""000"",B386),join(,""00"",B386)),join(,""0"",B386)),B386)"),"0085")</f>
        <v>0085</v>
      </c>
      <c r="E386" s="270" t="s">
        <v>921</v>
      </c>
      <c r="F386" s="263" t="str">
        <f>vlookup(B386,'Geotagging Master All-Training '!$A$2:$C$2474,2,false)</f>
        <v>#N/A</v>
      </c>
      <c r="G386" s="349" t="s">
        <v>20</v>
      </c>
      <c r="H386" s="350"/>
    </row>
    <row r="387" hidden="1">
      <c r="A387" s="258">
        <v>1078.0</v>
      </c>
      <c r="B387" s="259">
        <v>1078.0</v>
      </c>
      <c r="C387" s="348">
        <v>385.0</v>
      </c>
      <c r="D387" s="260">
        <f>IFERROR(__xludf.DUMMYFUNCTION("if(B387&lt;=999,if(B387&lt;=99,IF(B387&lt;=9,join(,""000"",B387),join(,""00"",B387)),join(,""0"",B387)),B387)"),1078.0)</f>
        <v>1078</v>
      </c>
      <c r="E387" s="262" t="s">
        <v>922</v>
      </c>
      <c r="F387" s="263" t="str">
        <f>vlookup(B387,'Geotagging Master All-Training '!$A$2:$C$2474,2,false)</f>
        <v>#N/A</v>
      </c>
      <c r="G387" s="349" t="s">
        <v>20</v>
      </c>
      <c r="H387" s="350"/>
    </row>
    <row r="388" hidden="1">
      <c r="A388" s="258">
        <v>1171.0</v>
      </c>
      <c r="B388" s="258">
        <v>1171.0</v>
      </c>
      <c r="C388" s="348">
        <v>386.0</v>
      </c>
      <c r="D388" s="260">
        <f>IFERROR(__xludf.DUMMYFUNCTION("if(B388&lt;=999,if(B388&lt;=99,IF(B388&lt;=9,join(,""000"",B388),join(,""00"",B388)),join(,""0"",B388)),B388)"),1171.0)</f>
        <v>1171</v>
      </c>
      <c r="E388" s="270" t="s">
        <v>926</v>
      </c>
      <c r="F388" s="263" t="str">
        <f>vlookup(B388,'Geotagging Master All-Training '!$A$2:$C$2474,2,false)</f>
        <v>#N/A</v>
      </c>
      <c r="G388" s="349" t="s">
        <v>20</v>
      </c>
      <c r="H388" s="350"/>
    </row>
    <row r="389" hidden="1">
      <c r="A389" s="258">
        <v>646.0</v>
      </c>
      <c r="B389" s="258">
        <v>646.0</v>
      </c>
      <c r="C389" s="348">
        <v>387.0</v>
      </c>
      <c r="D389" s="260" t="str">
        <f>IFERROR(__xludf.DUMMYFUNCTION("if(B389&lt;=999,if(B389&lt;=99,IF(B389&lt;=9,join(,""000"",B389),join(,""00"",B389)),join(,""0"",B389)),B389)"),"0646")</f>
        <v>0646</v>
      </c>
      <c r="E389" s="262" t="s">
        <v>928</v>
      </c>
      <c r="F389" s="263" t="str">
        <f>vlookup(B389,'Geotagging Master All-Training '!$A$2:$C$2474,2,false)</f>
        <v>#N/A</v>
      </c>
      <c r="G389" s="349" t="s">
        <v>20</v>
      </c>
      <c r="H389" s="350" t="e">
        <v>#N/A</v>
      </c>
    </row>
    <row r="390" hidden="1">
      <c r="A390" s="272">
        <v>1262.0</v>
      </c>
      <c r="B390" s="272">
        <v>1262.0</v>
      </c>
      <c r="C390" s="353">
        <v>405.0</v>
      </c>
      <c r="D390" s="273">
        <f>IFERROR(__xludf.DUMMYFUNCTION("if(B390&lt;=999,if(B390&lt;=99,IF(B390&lt;=9,join(,""000"",B390),join(,""00"",B390)),join(,""0"",B390)),B390)"),1262.0)</f>
        <v>1262</v>
      </c>
      <c r="E390" s="304" t="s">
        <v>962</v>
      </c>
      <c r="F390" s="303" t="str">
        <f>vlookup(B390,'Geotagging Master All-Training '!$A$2:$C$2474,2,false)</f>
        <v>#N/A</v>
      </c>
      <c r="G390" s="351" t="s">
        <v>20</v>
      </c>
      <c r="H390" s="352" t="e">
        <v>#N/A</v>
      </c>
    </row>
    <row r="391" hidden="1">
      <c r="A391" s="258">
        <v>65.0</v>
      </c>
      <c r="B391" s="258">
        <v>65.0</v>
      </c>
      <c r="C391" s="348">
        <v>389.0</v>
      </c>
      <c r="D391" s="260" t="str">
        <f>IFERROR(__xludf.DUMMYFUNCTION("if(B391&lt;=999,if(B391&lt;=99,IF(B391&lt;=9,join(,""000"",B391),join(,""00"",B391)),join(,""0"",B391)),B391)"),"0065")</f>
        <v>0065</v>
      </c>
      <c r="E391" s="270" t="s">
        <v>930</v>
      </c>
      <c r="F391" s="263" t="str">
        <f>vlookup(B391,'Geotagging Master All-Training '!$A$2:$C$2474,2,false)</f>
        <v>#N/A</v>
      </c>
      <c r="G391" s="349" t="s">
        <v>20</v>
      </c>
      <c r="H391" s="350"/>
    </row>
    <row r="392" hidden="1">
      <c r="A392" s="258">
        <v>88.0</v>
      </c>
      <c r="B392" s="259">
        <v>88.0</v>
      </c>
      <c r="C392" s="348">
        <v>390.0</v>
      </c>
      <c r="D392" s="260" t="str">
        <f>IFERROR(__xludf.DUMMYFUNCTION("if(B392&lt;=999,if(B392&lt;=99,IF(B392&lt;=9,join(,""000"",B392),join(,""00"",B392)),join(,""0"",B392)),B392)"),"0088")</f>
        <v>0088</v>
      </c>
      <c r="E392" s="270" t="s">
        <v>931</v>
      </c>
      <c r="F392" s="263" t="str">
        <f>vlookup(B392,'Geotagging Master All-Training '!$A$2:$C$2474,2,false)</f>
        <v>#N/A</v>
      </c>
      <c r="G392" s="349" t="s">
        <v>20</v>
      </c>
      <c r="H392" s="350"/>
    </row>
    <row r="393" hidden="1">
      <c r="A393" s="258">
        <v>632.0</v>
      </c>
      <c r="B393" s="258">
        <v>632.0</v>
      </c>
      <c r="C393" s="348">
        <v>391.0</v>
      </c>
      <c r="D393" s="260" t="str">
        <f>IFERROR(__xludf.DUMMYFUNCTION("if(B393&lt;=999,if(B393&lt;=99,IF(B393&lt;=9,join(,""000"",B393),join(,""00"",B393)),join(,""0"",B393)),B393)"),"0632")</f>
        <v>0632</v>
      </c>
      <c r="E393" s="262" t="s">
        <v>932</v>
      </c>
      <c r="F393" s="263" t="str">
        <f>vlookup(B393,'Geotagging Master All-Training '!$A$2:$C$2474,2,false)</f>
        <v>#N/A</v>
      </c>
      <c r="G393" s="349" t="s">
        <v>20</v>
      </c>
      <c r="H393" s="350" t="s">
        <v>244</v>
      </c>
    </row>
    <row r="394" hidden="1">
      <c r="A394" s="258">
        <v>800.0</v>
      </c>
      <c r="B394" s="258">
        <v>800.0</v>
      </c>
      <c r="C394" s="348">
        <v>392.0</v>
      </c>
      <c r="D394" s="260" t="str">
        <f>IFERROR(__xludf.DUMMYFUNCTION("if(B394&lt;=999,if(B394&lt;=99,IF(B394&lt;=9,join(,""000"",B394),join(,""00"",B394)),join(,""0"",B394)),B394)"),"0800")</f>
        <v>0800</v>
      </c>
      <c r="E394" s="262" t="s">
        <v>934</v>
      </c>
      <c r="F394" s="263" t="str">
        <f>vlookup(B394,'Geotagging Master All-Training '!$A$2:$C$2474,2,false)</f>
        <v>#N/A</v>
      </c>
      <c r="G394" s="349" t="s">
        <v>20</v>
      </c>
      <c r="H394" s="350">
        <v>80.0</v>
      </c>
    </row>
    <row r="395" hidden="1">
      <c r="A395" s="272">
        <v>619.0</v>
      </c>
      <c r="B395" s="272">
        <v>619.0</v>
      </c>
      <c r="C395" s="348">
        <v>393.0</v>
      </c>
      <c r="D395" s="273" t="str">
        <f>IFERROR(__xludf.DUMMYFUNCTION("if(B395&lt;=999,if(B395&lt;=99,IF(B395&lt;=9,join(,""000"",B395),join(,""00"",B395)),join(,""0"",B395)),B395)"),"0619")</f>
        <v>0619</v>
      </c>
      <c r="E395" s="304" t="s">
        <v>936</v>
      </c>
      <c r="F395" s="263" t="str">
        <f>vlookup(B395,'Geotagging Master All-Training '!$A$2:$C$2474,2,false)</f>
        <v>#N/A</v>
      </c>
      <c r="G395" s="351" t="s">
        <v>20</v>
      </c>
      <c r="H395" s="352"/>
    </row>
    <row r="396" hidden="1">
      <c r="A396" s="258">
        <v>325.0</v>
      </c>
      <c r="B396" s="258">
        <v>325.0</v>
      </c>
      <c r="C396" s="348">
        <v>394.0</v>
      </c>
      <c r="D396" s="260" t="str">
        <f>IFERROR(__xludf.DUMMYFUNCTION("if(B396&lt;=999,if(B396&lt;=99,IF(B396&lt;=9,join(,""000"",B396),join(,""00"",B396)),join(,""0"",B396)),B396)"),"0325")</f>
        <v>0325</v>
      </c>
      <c r="E396" s="270" t="s">
        <v>938</v>
      </c>
      <c r="F396" s="263" t="str">
        <f>vlookup(B396,'Geotagging Master All-Training '!$A$2:$C$2474,2,false)</f>
        <v>#N/A</v>
      </c>
      <c r="G396" s="349" t="s">
        <v>35</v>
      </c>
      <c r="H396" s="350" t="e">
        <v>#N/A</v>
      </c>
    </row>
    <row r="397" hidden="1">
      <c r="A397" s="258">
        <v>639.0</v>
      </c>
      <c r="B397" s="258">
        <v>639.0</v>
      </c>
      <c r="C397" s="348">
        <v>395.0</v>
      </c>
      <c r="D397" s="260" t="str">
        <f>IFERROR(__xludf.DUMMYFUNCTION("if(B397&lt;=999,if(B397&lt;=99,IF(B397&lt;=9,join(,""000"",B397),join(,""00"",B397)),join(,""0"",B397)),B397)"),"0639")</f>
        <v>0639</v>
      </c>
      <c r="E397" s="262" t="s">
        <v>939</v>
      </c>
      <c r="F397" s="263" t="str">
        <f>vlookup(B397,'Geotagging Master All-Training '!$A$2:$C$2474,2,false)</f>
        <v>#N/A</v>
      </c>
      <c r="G397" s="349" t="s">
        <v>20</v>
      </c>
      <c r="H397" s="350">
        <v>25001.0</v>
      </c>
    </row>
    <row r="398" hidden="1">
      <c r="A398" s="272">
        <v>830.0</v>
      </c>
      <c r="B398" s="272">
        <v>830.0</v>
      </c>
      <c r="C398" s="348">
        <v>396.0</v>
      </c>
      <c r="D398" s="273" t="str">
        <f>IFERROR(__xludf.DUMMYFUNCTION("if(B398&lt;=999,if(B398&lt;=99,IF(B398&lt;=9,join(,""000"",B398),join(,""00"",B398)),join(,""0"",B398)),B398)"),"0830")</f>
        <v>0830</v>
      </c>
      <c r="E398" s="304" t="s">
        <v>942</v>
      </c>
      <c r="F398" s="263" t="str">
        <f>vlookup(B398,'Geotagging Master All-Training '!$A$2:$C$2474,2,false)</f>
        <v>#N/A</v>
      </c>
      <c r="G398" s="351" t="s">
        <v>20</v>
      </c>
      <c r="H398" s="352" t="s">
        <v>944</v>
      </c>
    </row>
    <row r="399" hidden="1">
      <c r="A399" s="317">
        <v>1267.0</v>
      </c>
      <c r="B399" s="258">
        <v>1267.0</v>
      </c>
      <c r="C399" s="348">
        <v>397.0</v>
      </c>
      <c r="D399" s="260">
        <f>IFERROR(__xludf.DUMMYFUNCTION("if(B399&lt;=999,if(B399&lt;=99,IF(B399&lt;=9,join(,""000"",B399),join(,""00"",B399)),join(,""0"",B399)),B399)"),1267.0)</f>
        <v>1267</v>
      </c>
      <c r="E399" s="262" t="s">
        <v>947</v>
      </c>
      <c r="F399" s="263" t="str">
        <f>vlookup(B399,'Geotagging Master All-Training '!$A$2:$C$2474,2,false)</f>
        <v>#N/A</v>
      </c>
      <c r="G399" s="349" t="s">
        <v>20</v>
      </c>
      <c r="H399" s="350" t="s">
        <v>950</v>
      </c>
    </row>
    <row r="400" hidden="1">
      <c r="A400" s="258">
        <v>522.0</v>
      </c>
      <c r="B400" s="258">
        <v>522.0</v>
      </c>
      <c r="C400" s="348">
        <v>398.0</v>
      </c>
      <c r="D400" s="260" t="str">
        <f>IFERROR(__xludf.DUMMYFUNCTION("if(B400&lt;=999,if(B400&lt;=99,IF(B400&lt;=9,join(,""000"",B400),join(,""00"",B400)),join(,""0"",B400)),B400)"),"0522")</f>
        <v>0522</v>
      </c>
      <c r="E400" s="262" t="s">
        <v>951</v>
      </c>
      <c r="F400" s="263" t="str">
        <f>vlookup(B400,'Geotagging Master All-Training '!$A$2:$C$2474,2,false)</f>
        <v>#N/A</v>
      </c>
      <c r="G400" s="349" t="s">
        <v>20</v>
      </c>
      <c r="H400" s="350">
        <v>80.0</v>
      </c>
    </row>
    <row r="401" hidden="1">
      <c r="A401" s="258">
        <v>951.0</v>
      </c>
      <c r="B401" s="258">
        <v>951.0</v>
      </c>
      <c r="C401" s="348">
        <v>399.0</v>
      </c>
      <c r="D401" s="260" t="str">
        <f>IFERROR(__xludf.DUMMYFUNCTION("if(B401&lt;=999,if(B401&lt;=99,IF(B401&lt;=9,join(,""000"",B401),join(,""00"",B401)),join(,""0"",B401)),B401)"),"0951")</f>
        <v>0951</v>
      </c>
      <c r="E401" s="262" t="s">
        <v>952</v>
      </c>
      <c r="F401" s="263" t="str">
        <f>vlookup(B401,'Geotagging Master All-Training '!$A$2:$C$2474,2,false)</f>
        <v>#N/A</v>
      </c>
      <c r="G401" s="349" t="s">
        <v>20</v>
      </c>
      <c r="H401" s="350">
        <v>80.0</v>
      </c>
    </row>
    <row r="402" hidden="1">
      <c r="A402" s="272">
        <v>468.0</v>
      </c>
      <c r="B402" s="272">
        <v>468.0</v>
      </c>
      <c r="C402" s="348">
        <v>400.0</v>
      </c>
      <c r="D402" s="273" t="str">
        <f>IFERROR(__xludf.DUMMYFUNCTION("if(B402&lt;=999,if(B402&lt;=99,IF(B402&lt;=9,join(,""000"",B402),join(,""00"",B402)),join(,""0"",B402)),B402)"),"0468")</f>
        <v>0468</v>
      </c>
      <c r="E402" s="304" t="s">
        <v>954</v>
      </c>
      <c r="F402" s="263" t="str">
        <f>vlookup(B402,'Geotagging Master All-Training '!$A$2:$C$2474,2,false)</f>
        <v>#N/A</v>
      </c>
      <c r="G402" s="351" t="s">
        <v>20</v>
      </c>
      <c r="H402" s="352">
        <v>16.0</v>
      </c>
    </row>
    <row r="403" hidden="1">
      <c r="A403" s="258">
        <v>1070.0</v>
      </c>
      <c r="B403" s="258">
        <v>1070.0</v>
      </c>
      <c r="C403" s="348">
        <v>401.0</v>
      </c>
      <c r="D403" s="260">
        <f>IFERROR(__xludf.DUMMYFUNCTION("if(B403&lt;=999,if(B403&lt;=99,IF(B403&lt;=9,join(,""000"",B403),join(,""00"",B403)),join(,""0"",B403)),B403)"),1070.0)</f>
        <v>1070</v>
      </c>
      <c r="E403" s="270" t="s">
        <v>956</v>
      </c>
      <c r="F403" s="263" t="str">
        <f>vlookup(B403,'Geotagging Master All-Training '!$A$2:$C$2474,2,false)</f>
        <v>#N/A</v>
      </c>
      <c r="G403" s="349" t="s">
        <v>20</v>
      </c>
      <c r="H403" s="350">
        <v>2.0</v>
      </c>
    </row>
    <row r="404" hidden="1">
      <c r="A404" s="258">
        <v>1258.0</v>
      </c>
      <c r="B404" s="258">
        <v>1258.0</v>
      </c>
      <c r="C404" s="348">
        <v>402.0</v>
      </c>
      <c r="D404" s="260">
        <f>IFERROR(__xludf.DUMMYFUNCTION("if(B404&lt;=999,if(B404&lt;=99,IF(B404&lt;=9,join(,""000"",B404),join(,""00"",B404)),join(,""0"",B404)),B404)"),1258.0)</f>
        <v>1258</v>
      </c>
      <c r="E404" s="262" t="s">
        <v>957</v>
      </c>
      <c r="F404" s="263" t="str">
        <f>vlookup(B404,'Geotagging Master All-Training '!$A$2:$C$2474,2,false)</f>
        <v>#N/A</v>
      </c>
      <c r="G404" s="349" t="s">
        <v>20</v>
      </c>
      <c r="H404" s="350">
        <v>32.0</v>
      </c>
    </row>
    <row r="405" hidden="1">
      <c r="A405" s="258">
        <v>1190.0</v>
      </c>
      <c r="B405" s="259">
        <v>1190.0</v>
      </c>
      <c r="C405" s="348">
        <v>403.0</v>
      </c>
      <c r="D405" s="260">
        <f>IFERROR(__xludf.DUMMYFUNCTION("if(B405&lt;=999,if(B405&lt;=99,IF(B405&lt;=9,join(,""000"",B405),join(,""00"",B405)),join(,""0"",B405)),B405)"),1190.0)</f>
        <v>1190</v>
      </c>
      <c r="E405" s="262" t="s">
        <v>960</v>
      </c>
      <c r="F405" s="263" t="str">
        <f>vlookup(B405,'Geotagging Master All-Training '!$A$2:$C$2474,2,false)</f>
        <v>#N/A</v>
      </c>
      <c r="G405" s="349" t="s">
        <v>20</v>
      </c>
      <c r="H405" s="350">
        <v>32.0</v>
      </c>
    </row>
    <row r="406" hidden="1">
      <c r="A406" s="258">
        <v>1191.0</v>
      </c>
      <c r="B406" s="258">
        <v>1191.0</v>
      </c>
      <c r="C406" s="348">
        <v>404.0</v>
      </c>
      <c r="D406" s="260">
        <f>IFERROR(__xludf.DUMMYFUNCTION("if(B406&lt;=999,if(B406&lt;=99,IF(B406&lt;=9,join(,""000"",B406),join(,""00"",B406)),join(,""0"",B406)),B406)"),1191.0)</f>
        <v>1191</v>
      </c>
      <c r="E406" s="262" t="s">
        <v>961</v>
      </c>
      <c r="F406" s="263" t="str">
        <f>vlookup(B406,'Geotagging Master All-Training '!$A$2:$C$2474,2,false)</f>
        <v>#N/A</v>
      </c>
      <c r="G406" s="349" t="s">
        <v>20</v>
      </c>
      <c r="H406" s="350">
        <v>32.0</v>
      </c>
    </row>
    <row r="407" hidden="1">
      <c r="A407" s="272">
        <v>1273.0</v>
      </c>
      <c r="B407" s="272">
        <v>1273.0</v>
      </c>
      <c r="C407" s="353">
        <v>447.0</v>
      </c>
      <c r="D407" s="273">
        <f>IFERROR(__xludf.DUMMYFUNCTION("if(B407&lt;=999,if(B407&lt;=99,IF(B407&lt;=9,join(,""000"",B407),join(,""00"",B407)),join(,""0"",B407)),B407)"),1273.0)</f>
        <v>1273</v>
      </c>
      <c r="E407" s="304" t="s">
        <v>322</v>
      </c>
      <c r="F407" s="303" t="str">
        <f>vlookup(B407,'Geotagging Master All-Training '!$A$2:$C$2474,2,false)</f>
        <v>#N/A</v>
      </c>
      <c r="G407" s="351" t="s">
        <v>20</v>
      </c>
      <c r="H407" s="352"/>
    </row>
    <row r="408" hidden="1">
      <c r="A408" s="258">
        <v>1048.0</v>
      </c>
      <c r="B408" s="258">
        <v>1048.0</v>
      </c>
      <c r="C408" s="348">
        <v>406.0</v>
      </c>
      <c r="D408" s="260">
        <f>IFERROR(__xludf.DUMMYFUNCTION("if(B408&lt;=999,if(B408&lt;=99,IF(B408&lt;=9,join(,""000"",B408),join(,""00"",B408)),join(,""0"",B408)),B408)"),1048.0)</f>
        <v>1048</v>
      </c>
      <c r="E408" s="262" t="s">
        <v>963</v>
      </c>
      <c r="F408" s="263" t="str">
        <f>vlookup(B408,'Geotagging Master All-Training '!$A$2:$C$2474,2,false)</f>
        <v>#N/A</v>
      </c>
      <c r="G408" s="349" t="s">
        <v>20</v>
      </c>
      <c r="H408" s="350" t="e">
        <v>#N/A</v>
      </c>
    </row>
    <row r="409" hidden="1">
      <c r="A409" s="258">
        <v>21.0</v>
      </c>
      <c r="B409" s="258">
        <v>21.0</v>
      </c>
      <c r="C409" s="348">
        <v>407.0</v>
      </c>
      <c r="D409" s="260" t="str">
        <f>IFERROR(__xludf.DUMMYFUNCTION("if(B409&lt;=999,if(B409&lt;=99,IF(B409&lt;=9,join(,""000"",B409),join(,""00"",B409)),join(,""0"",B409)),B409)"),"0021")</f>
        <v>0021</v>
      </c>
      <c r="E409" s="262" t="s">
        <v>1337</v>
      </c>
      <c r="F409" s="263" t="str">
        <f>vlookup(B409,'Geotagging Master All-Training '!$A$2:$C$2474,2,false)</f>
        <v>#N/A</v>
      </c>
      <c r="G409" s="349" t="s">
        <v>20</v>
      </c>
      <c r="H409" s="350">
        <v>8000.0</v>
      </c>
    </row>
    <row r="410" hidden="1">
      <c r="A410" s="258">
        <v>1293.0</v>
      </c>
      <c r="B410" s="258">
        <v>1293.0</v>
      </c>
      <c r="C410" s="348">
        <v>408.0</v>
      </c>
      <c r="D410" s="260">
        <f>IFERROR(__xludf.DUMMYFUNCTION("if(B410&lt;=999,if(B410&lt;=99,IF(B410&lt;=9,join(,""000"",B410),join(,""00"",B410)),join(,""0"",B410)),B410)"),1293.0)</f>
        <v>1293</v>
      </c>
      <c r="E410" s="270" t="s">
        <v>969</v>
      </c>
      <c r="F410" s="263" t="str">
        <f>vlookup(B410,'Geotagging Master All-Training '!$A$2:$C$2474,2,false)</f>
        <v>#N/A</v>
      </c>
      <c r="G410" s="349" t="s">
        <v>20</v>
      </c>
      <c r="H410" s="350">
        <v>24.0</v>
      </c>
    </row>
    <row r="411" hidden="1">
      <c r="A411" s="272">
        <v>1305.0</v>
      </c>
      <c r="B411" s="272">
        <v>1305.0</v>
      </c>
      <c r="C411" s="348">
        <v>409.0</v>
      </c>
      <c r="D411" s="273">
        <f>IFERROR(__xludf.DUMMYFUNCTION("if(B411&lt;=999,if(B411&lt;=99,IF(B411&lt;=9,join(,""000"",B411),join(,""00"",B411)),join(,""0"",B411)),B411)"),1305.0)</f>
        <v>1305</v>
      </c>
      <c r="E411" s="304" t="s">
        <v>970</v>
      </c>
      <c r="F411" s="263" t="str">
        <f>vlookup(B411,'Geotagging Master All-Training '!$A$2:$C$2474,2,false)</f>
        <v>#N/A</v>
      </c>
      <c r="G411" s="351" t="s">
        <v>20</v>
      </c>
      <c r="H411" s="352">
        <v>80.0</v>
      </c>
    </row>
    <row r="412" hidden="1">
      <c r="A412" s="258">
        <v>1253.0</v>
      </c>
      <c r="B412" s="258">
        <v>1253.0</v>
      </c>
      <c r="C412" s="348">
        <v>410.0</v>
      </c>
      <c r="D412" s="260">
        <f>IFERROR(__xludf.DUMMYFUNCTION("if(B412&lt;=999,if(B412&lt;=99,IF(B412&lt;=9,join(,""000"",B412),join(,""00"",B412)),join(,""0"",B412)),B412)"),1253.0)</f>
        <v>1253</v>
      </c>
      <c r="E412" s="262" t="s">
        <v>973</v>
      </c>
      <c r="F412" s="263" t="str">
        <f>vlookup(B412,'Geotagging Master All-Training '!$A$2:$C$2474,2,false)</f>
        <v>#N/A</v>
      </c>
      <c r="G412" s="349" t="s">
        <v>20</v>
      </c>
      <c r="H412" s="350">
        <v>8000.0</v>
      </c>
    </row>
    <row r="413" hidden="1">
      <c r="A413" s="258">
        <v>1189.0</v>
      </c>
      <c r="B413" s="258">
        <v>1189.0</v>
      </c>
      <c r="C413" s="348">
        <v>411.0</v>
      </c>
      <c r="D413" s="260">
        <f>IFERROR(__xludf.DUMMYFUNCTION("if(B413&lt;=999,if(B413&lt;=99,IF(B413&lt;=9,join(,""000"",B413),join(,""00"",B413)),join(,""0"",B413)),B413)"),1189.0)</f>
        <v>1189</v>
      </c>
      <c r="E413" s="262" t="s">
        <v>976</v>
      </c>
      <c r="F413" s="263" t="str">
        <f>vlookup(B413,'Geotagging Master All-Training '!$A$2:$C$2474,2,false)</f>
        <v>#N/A</v>
      </c>
      <c r="G413" s="349" t="s">
        <v>20</v>
      </c>
      <c r="H413" s="350">
        <v>8000.0</v>
      </c>
    </row>
    <row r="414" hidden="1">
      <c r="A414" s="272">
        <v>221.0</v>
      </c>
      <c r="B414" s="272">
        <v>221.0</v>
      </c>
      <c r="C414" s="348">
        <v>412.0</v>
      </c>
      <c r="D414" s="273" t="str">
        <f>IFERROR(__xludf.DUMMYFUNCTION("if(B414&lt;=999,if(B414&lt;=99,IF(B414&lt;=9,join(,""000"",B414),join(,""00"",B414)),join(,""0"",B414)),B414)"),"0221")</f>
        <v>0221</v>
      </c>
      <c r="E414" s="304" t="s">
        <v>977</v>
      </c>
      <c r="F414" s="263" t="str">
        <f>vlookup(B414,'Geotagging Master All-Training '!$A$2:$C$2474,2,false)</f>
        <v>#N/A</v>
      </c>
      <c r="G414" s="351" t="s">
        <v>20</v>
      </c>
      <c r="H414" s="352" t="e">
        <v>#N/A</v>
      </c>
    </row>
    <row r="415" hidden="1">
      <c r="A415" s="258">
        <v>337.0</v>
      </c>
      <c r="B415" s="259">
        <v>337.0</v>
      </c>
      <c r="C415" s="348">
        <v>413.0</v>
      </c>
      <c r="D415" s="260" t="str">
        <f>IFERROR(__xludf.DUMMYFUNCTION("if(B415&lt;=999,if(B415&lt;=99,IF(B415&lt;=9,join(,""000"",B415),join(,""00"",B415)),join(,""0"",B415)),B415)"),"0337")</f>
        <v>0337</v>
      </c>
      <c r="E415" s="270" t="s">
        <v>982</v>
      </c>
      <c r="F415" s="263" t="str">
        <f>vlookup(B415,'Geotagging Master All-Training '!$A$2:$C$2474,2,false)</f>
        <v>#N/A</v>
      </c>
      <c r="G415" s="349" t="s">
        <v>20</v>
      </c>
      <c r="H415" s="350">
        <v>8000.0</v>
      </c>
    </row>
    <row r="416" hidden="1">
      <c r="A416" s="258">
        <v>819.0</v>
      </c>
      <c r="B416" s="259">
        <v>819.0</v>
      </c>
      <c r="C416" s="348">
        <v>414.0</v>
      </c>
      <c r="D416" s="260" t="str">
        <f>IFERROR(__xludf.DUMMYFUNCTION("if(B416&lt;=999,if(B416&lt;=99,IF(B416&lt;=9,join(,""000"",B416),join(,""00"",B416)),join(,""0"",B416)),B416)"),"0819")</f>
        <v>0819</v>
      </c>
      <c r="E416" s="262" t="s">
        <v>984</v>
      </c>
      <c r="F416" s="263" t="str">
        <f>vlookup(B416,'Geotagging Master All-Training '!$A$2:$C$2474,2,false)</f>
        <v>#N/A</v>
      </c>
      <c r="G416" s="349" t="s">
        <v>20</v>
      </c>
      <c r="H416" s="350" t="e">
        <v>#N/A</v>
      </c>
    </row>
    <row r="417" hidden="1">
      <c r="A417" s="258">
        <v>1050.0</v>
      </c>
      <c r="B417" s="258">
        <v>1050.0</v>
      </c>
      <c r="C417" s="348">
        <v>415.0</v>
      </c>
      <c r="D417" s="260">
        <f>IFERROR(__xludf.DUMMYFUNCTION("if(B417&lt;=999,if(B417&lt;=99,IF(B417&lt;=9,join(,""000"",B417),join(,""00"",B417)),join(,""0"",B417)),B417)"),1050.0)</f>
        <v>1050</v>
      </c>
      <c r="E417" s="270" t="s">
        <v>988</v>
      </c>
      <c r="F417" s="263" t="str">
        <f>vlookup(B417,'Geotagging Master All-Training '!$A$2:$C$2474,2,false)</f>
        <v>#N/A</v>
      </c>
      <c r="G417" s="349" t="s">
        <v>20</v>
      </c>
      <c r="H417" s="350">
        <v>16.0</v>
      </c>
    </row>
    <row r="418" hidden="1">
      <c r="A418" s="258">
        <v>17.0</v>
      </c>
      <c r="B418" s="258">
        <v>17.0</v>
      </c>
      <c r="C418" s="348">
        <v>416.0</v>
      </c>
      <c r="D418" s="260" t="str">
        <f>IFERROR(__xludf.DUMMYFUNCTION("if(B418&lt;=999,if(B418&lt;=99,IF(B418&lt;=9,join(,""000"",B418),join(,""00"",B418)),join(,""0"",B418)),B418)"),"0017")</f>
        <v>0017</v>
      </c>
      <c r="E418" s="270" t="s">
        <v>989</v>
      </c>
      <c r="F418" s="263" t="str">
        <f>vlookup(B418,'Geotagging Master All-Training '!$A$2:$C$2474,2,false)</f>
        <v>#N/A</v>
      </c>
      <c r="G418" s="349" t="s">
        <v>20</v>
      </c>
      <c r="H418" s="350">
        <v>8000.0</v>
      </c>
    </row>
    <row r="419" hidden="1">
      <c r="A419" s="258">
        <v>340.0</v>
      </c>
      <c r="B419" s="258">
        <v>340.0</v>
      </c>
      <c r="C419" s="348">
        <v>417.0</v>
      </c>
      <c r="D419" s="260" t="str">
        <f>IFERROR(__xludf.DUMMYFUNCTION("if(B419&lt;=999,if(B419&lt;=99,IF(B419&lt;=9,join(,""000"",B419),join(,""00"",B419)),join(,""0"",B419)),B419)"),"0340")</f>
        <v>0340</v>
      </c>
      <c r="E419" s="262" t="s">
        <v>990</v>
      </c>
      <c r="F419" s="263" t="str">
        <f>vlookup(B419,'Geotagging Master All-Training '!$A$2:$C$2474,2,false)</f>
        <v>#N/A</v>
      </c>
      <c r="G419" s="349" t="s">
        <v>20</v>
      </c>
      <c r="H419" s="350">
        <v>25001.0</v>
      </c>
    </row>
    <row r="420" hidden="1">
      <c r="A420" s="258">
        <v>1134.0</v>
      </c>
      <c r="B420" s="258">
        <v>1134.0</v>
      </c>
      <c r="C420" s="348">
        <v>418.0</v>
      </c>
      <c r="D420" s="260">
        <f>IFERROR(__xludf.DUMMYFUNCTION("if(B420&lt;=999,if(B420&lt;=99,IF(B420&lt;=9,join(,""000"",B420),join(,""00"",B420)),join(,""0"",B420)),B420)"),1134.0)</f>
        <v>1134</v>
      </c>
      <c r="E420" s="270" t="s">
        <v>993</v>
      </c>
      <c r="F420" s="263" t="str">
        <f>vlookup(B420,'Geotagging Master All-Training '!$A$2:$C$2474,2,false)</f>
        <v>#N/A</v>
      </c>
      <c r="G420" s="349" t="s">
        <v>20</v>
      </c>
      <c r="H420" s="350">
        <v>8080.0</v>
      </c>
    </row>
    <row r="421" hidden="1">
      <c r="A421" s="258">
        <v>1198.0</v>
      </c>
      <c r="B421" s="258">
        <v>1198.0</v>
      </c>
      <c r="C421" s="348">
        <v>419.0</v>
      </c>
      <c r="D421" s="260">
        <f>IFERROR(__xludf.DUMMYFUNCTION("if(B421&lt;=999,if(B421&lt;=99,IF(B421&lt;=9,join(,""000"",B421),join(,""00"",B421)),join(,""0"",B421)),B421)"),1198.0)</f>
        <v>1198</v>
      </c>
      <c r="E421" s="262" t="s">
        <v>994</v>
      </c>
      <c r="F421" s="263" t="str">
        <f>vlookup(B421,'Geotagging Master All-Training '!$A$2:$C$2474,2,false)</f>
        <v>#N/A</v>
      </c>
      <c r="G421" s="349" t="s">
        <v>20</v>
      </c>
      <c r="H421" s="350">
        <v>80.0</v>
      </c>
    </row>
    <row r="422" hidden="1">
      <c r="A422" s="258">
        <v>18.0</v>
      </c>
      <c r="B422" s="258">
        <v>18.0</v>
      </c>
      <c r="C422" s="348">
        <v>420.0</v>
      </c>
      <c r="D422" s="260" t="str">
        <f>IFERROR(__xludf.DUMMYFUNCTION("if(B422&lt;=999,if(B422&lt;=99,IF(B422&lt;=9,join(,""000"",B422),join(,""00"",B422)),join(,""0"",B422)),B422)"),"0018")</f>
        <v>0018</v>
      </c>
      <c r="E422" s="270" t="s">
        <v>996</v>
      </c>
      <c r="F422" s="263" t="str">
        <f>vlookup(B422,'Geotagging Master All-Training '!$A$2:$C$2474,2,false)</f>
        <v>#N/A</v>
      </c>
      <c r="G422" s="349" t="s">
        <v>20</v>
      </c>
      <c r="H422" s="350">
        <v>16.0</v>
      </c>
    </row>
    <row r="423" hidden="1">
      <c r="A423" s="258">
        <v>818.0</v>
      </c>
      <c r="B423" s="258">
        <v>818.0</v>
      </c>
      <c r="C423" s="348">
        <v>421.0</v>
      </c>
      <c r="D423" s="260" t="str">
        <f>IFERROR(__xludf.DUMMYFUNCTION("if(B423&lt;=999,if(B423&lt;=99,IF(B423&lt;=9,join(,""000"",B423),join(,""00"",B423)),join(,""0"",B423)),B423)"),"0818")</f>
        <v>0818</v>
      </c>
      <c r="E423" s="270" t="s">
        <v>997</v>
      </c>
      <c r="F423" s="263" t="str">
        <f>vlookup(B423,'Geotagging Master All-Training '!$A$2:$C$2474,2,false)</f>
        <v>#N/A</v>
      </c>
      <c r="G423" s="349" t="s">
        <v>20</v>
      </c>
      <c r="H423" s="350"/>
    </row>
    <row r="424" hidden="1">
      <c r="A424" s="258">
        <v>1320.0</v>
      </c>
      <c r="B424" s="258">
        <v>1320.0</v>
      </c>
      <c r="C424" s="348">
        <v>422.0</v>
      </c>
      <c r="D424" s="260">
        <f>IFERROR(__xludf.DUMMYFUNCTION("if(B424&lt;=999,if(B424&lt;=99,IF(B424&lt;=9,join(,""000"",B424),join(,""00"",B424)),join(,""0"",B424)),B424)"),1320.0)</f>
        <v>1320</v>
      </c>
      <c r="E424" s="262" t="s">
        <v>999</v>
      </c>
      <c r="F424" s="263" t="str">
        <f>vlookup(B424,'Geotagging Master All-Training '!$A$2:$C$2474,2,false)</f>
        <v>#N/A</v>
      </c>
      <c r="G424" s="349" t="s">
        <v>20</v>
      </c>
      <c r="H424" s="350" t="e">
        <v>#N/A</v>
      </c>
    </row>
    <row r="425" hidden="1">
      <c r="A425" s="258">
        <v>1026.0</v>
      </c>
      <c r="B425" s="258">
        <v>1026.0</v>
      </c>
      <c r="C425" s="348">
        <v>423.0</v>
      </c>
      <c r="D425" s="260">
        <f>IFERROR(__xludf.DUMMYFUNCTION("if(B425&lt;=999,if(B425&lt;=99,IF(B425&lt;=9,join(,""000"",B425),join(,""00"",B425)),join(,""0"",B425)),B425)"),1026.0)</f>
        <v>1026</v>
      </c>
      <c r="E425" s="262" t="s">
        <v>1002</v>
      </c>
      <c r="F425" s="263" t="str">
        <f>vlookup(B425,'Geotagging Master All-Training '!$A$2:$C$2474,2,false)</f>
        <v>#N/A</v>
      </c>
      <c r="G425" s="349" t="s">
        <v>20</v>
      </c>
      <c r="H425" s="350">
        <v>80.0</v>
      </c>
    </row>
    <row r="426" hidden="1">
      <c r="A426" s="258">
        <v>1296.0</v>
      </c>
      <c r="B426" s="259">
        <v>1296.0</v>
      </c>
      <c r="C426" s="348">
        <v>424.0</v>
      </c>
      <c r="D426" s="260">
        <f>IFERROR(__xludf.DUMMYFUNCTION("if(B426&lt;=999,if(B426&lt;=99,IF(B426&lt;=9,join(,""000"",B426),join(,""00"",B426)),join(,""0"",B426)),B426)"),1296.0)</f>
        <v>1296</v>
      </c>
      <c r="E426" s="262" t="s">
        <v>1003</v>
      </c>
      <c r="F426" s="263" t="str">
        <f>vlookup(B426,'Geotagging Master All-Training '!$A$2:$C$2474,2,false)</f>
        <v>#N/A</v>
      </c>
      <c r="G426" s="349" t="s">
        <v>20</v>
      </c>
      <c r="H426" s="350">
        <v>25.0</v>
      </c>
    </row>
    <row r="427" hidden="1">
      <c r="A427" s="258">
        <v>1081.0</v>
      </c>
      <c r="B427" s="258">
        <v>1081.0</v>
      </c>
      <c r="C427" s="348">
        <v>425.0</v>
      </c>
      <c r="D427" s="260">
        <f>IFERROR(__xludf.DUMMYFUNCTION("if(B427&lt;=999,if(B427&lt;=99,IF(B427&lt;=9,join(,""000"",B427),join(,""00"",B427)),join(,""0"",B427)),B427)"),1081.0)</f>
        <v>1081</v>
      </c>
      <c r="E427" s="270" t="s">
        <v>1006</v>
      </c>
      <c r="F427" s="263" t="str">
        <f>vlookup(B427,'Geotagging Master All-Training '!$A$2:$C$2474,2,false)</f>
        <v>#N/A</v>
      </c>
      <c r="G427" s="349" t="s">
        <v>20</v>
      </c>
      <c r="H427" s="350">
        <v>1025.0</v>
      </c>
    </row>
    <row r="428" hidden="1">
      <c r="A428" s="258">
        <v>1203.0</v>
      </c>
      <c r="B428" s="258">
        <v>1203.0</v>
      </c>
      <c r="C428" s="348">
        <v>426.0</v>
      </c>
      <c r="D428" s="260">
        <f>IFERROR(__xludf.DUMMYFUNCTION("if(B428&lt;=999,if(B428&lt;=99,IF(B428&lt;=9,join(,""000"",B428),join(,""00"",B428)),join(,""0"",B428)),B428)"),1203.0)</f>
        <v>1203</v>
      </c>
      <c r="E428" s="262" t="s">
        <v>1008</v>
      </c>
      <c r="F428" s="263" t="str">
        <f>vlookup(B428,'Geotagging Master All-Training '!$A$2:$C$2474,2,false)</f>
        <v>#N/A</v>
      </c>
      <c r="G428" s="349" t="s">
        <v>20</v>
      </c>
      <c r="H428" s="350" t="e">
        <v>#N/A</v>
      </c>
    </row>
    <row r="429" hidden="1">
      <c r="A429" s="258">
        <v>1225.0</v>
      </c>
      <c r="B429" s="259">
        <v>1225.0</v>
      </c>
      <c r="C429" s="348">
        <v>427.0</v>
      </c>
      <c r="D429" s="260">
        <f>IFERROR(__xludf.DUMMYFUNCTION("if(B429&lt;=999,if(B429&lt;=99,IF(B429&lt;=9,join(,""000"",B429),join(,""00"",B429)),join(,""0"",B429)),B429)"),1225.0)</f>
        <v>1225</v>
      </c>
      <c r="E429" s="262" t="s">
        <v>1009</v>
      </c>
      <c r="F429" s="263" t="str">
        <f>vlookup(B429,'Geotagging Master All-Training '!$A$2:$C$2474,2,false)</f>
        <v>#N/A</v>
      </c>
      <c r="G429" s="349" t="s">
        <v>20</v>
      </c>
      <c r="H429" s="350" t="e">
        <v>#N/A</v>
      </c>
    </row>
    <row r="430" hidden="1">
      <c r="A430" s="258">
        <v>807.0</v>
      </c>
      <c r="B430" s="258">
        <v>807.0</v>
      </c>
      <c r="C430" s="348">
        <v>428.0</v>
      </c>
      <c r="D430" s="260" t="str">
        <f>IFERROR(__xludf.DUMMYFUNCTION("if(B430&lt;=999,if(B430&lt;=99,IF(B430&lt;=9,join(,""000"",B430),join(,""00"",B430)),join(,""0"",B430)),B430)"),"0807")</f>
        <v>0807</v>
      </c>
      <c r="E430" s="262" t="s">
        <v>1010</v>
      </c>
      <c r="F430" s="263" t="str">
        <f>vlookup(B430,'Geotagging Master All-Training '!$A$2:$C$2474,2,false)</f>
        <v>#N/A</v>
      </c>
      <c r="G430" s="349" t="s">
        <v>20</v>
      </c>
      <c r="H430" s="350" t="s">
        <v>1013</v>
      </c>
    </row>
    <row r="431" hidden="1">
      <c r="A431" s="258">
        <v>345.0</v>
      </c>
      <c r="B431" s="258">
        <v>345.0</v>
      </c>
      <c r="C431" s="348">
        <v>429.0</v>
      </c>
      <c r="D431" s="260" t="str">
        <f>IFERROR(__xludf.DUMMYFUNCTION("if(B431&lt;=999,if(B431&lt;=99,IF(B431&lt;=9,join(,""000"",B431),join(,""00"",B431)),join(,""0"",B431)),B431)"),"0345")</f>
        <v>0345</v>
      </c>
      <c r="E431" s="262" t="s">
        <v>1014</v>
      </c>
      <c r="F431" s="263" t="str">
        <f>vlookup(B431,'Geotagging Master All-Training '!$A$2:$C$2474,2,false)</f>
        <v>#N/A</v>
      </c>
      <c r="G431" s="349" t="s">
        <v>20</v>
      </c>
      <c r="H431" s="350">
        <v>80.0</v>
      </c>
    </row>
    <row r="432" hidden="1">
      <c r="A432" s="272">
        <v>1181.0</v>
      </c>
      <c r="B432" s="272">
        <v>1181.0</v>
      </c>
      <c r="C432" s="348">
        <v>430.0</v>
      </c>
      <c r="D432" s="273">
        <f>IFERROR(__xludf.DUMMYFUNCTION("if(B432&lt;=999,if(B432&lt;=99,IF(B432&lt;=9,join(,""000"",B432),join(,""00"",B432)),join(,""0"",B432)),B432)"),1181.0)</f>
        <v>1181</v>
      </c>
      <c r="E432" s="274" t="s">
        <v>1016</v>
      </c>
      <c r="F432" s="263" t="str">
        <f>vlookup(B432,'Geotagging Master All-Training '!$A$2:$C$2474,2,false)</f>
        <v>#N/A</v>
      </c>
      <c r="G432" s="351" t="s">
        <v>20</v>
      </c>
      <c r="H432" s="352">
        <v>4.0</v>
      </c>
    </row>
    <row r="433" hidden="1">
      <c r="A433" s="258">
        <v>1059.0</v>
      </c>
      <c r="B433" s="258">
        <v>1059.0</v>
      </c>
      <c r="C433" s="348">
        <v>431.0</v>
      </c>
      <c r="D433" s="260">
        <f>IFERROR(__xludf.DUMMYFUNCTION("if(B433&lt;=999,if(B433&lt;=99,IF(B433&lt;=9,join(,""000"",B433),join(,""00"",B433)),join(,""0"",B433)),B433)"),1059.0)</f>
        <v>1059</v>
      </c>
      <c r="E433" s="270" t="s">
        <v>1017</v>
      </c>
      <c r="F433" s="263" t="str">
        <f>vlookup(B433,'Geotagging Master All-Training '!$A$2:$C$2474,2,false)</f>
        <v>#N/A</v>
      </c>
      <c r="G433" s="349" t="s">
        <v>20</v>
      </c>
      <c r="H433" s="350"/>
    </row>
    <row r="434" hidden="1">
      <c r="A434" s="258">
        <v>979.0</v>
      </c>
      <c r="B434" s="259">
        <v>979.0</v>
      </c>
      <c r="C434" s="348">
        <v>432.0</v>
      </c>
      <c r="D434" s="260" t="str">
        <f>IFERROR(__xludf.DUMMYFUNCTION("if(B434&lt;=999,if(B434&lt;=99,IF(B434&lt;=9,join(,""000"",B434),join(,""00"",B434)),join(,""0"",B434)),B434)"),"0979")</f>
        <v>0979</v>
      </c>
      <c r="E434" s="270" t="s">
        <v>1019</v>
      </c>
      <c r="F434" s="263" t="str">
        <f>vlookup(B434,'Geotagging Master All-Training '!$A$2:$C$2474,2,false)</f>
        <v>#N/A</v>
      </c>
      <c r="G434" s="349" t="s">
        <v>20</v>
      </c>
      <c r="H434" s="350"/>
    </row>
    <row r="435" hidden="1">
      <c r="A435" s="258">
        <v>1080.0</v>
      </c>
      <c r="B435" s="258">
        <v>1080.0</v>
      </c>
      <c r="C435" s="348">
        <v>433.0</v>
      </c>
      <c r="D435" s="261">
        <f>IFERROR(__xludf.DUMMYFUNCTION("if(B435&lt;=999,if(B435&lt;=99,IF(B435&lt;=9,join(,""000"",B435),join(,""00"",B435)),join(,""0"",B435)),B435)"),1080.0)</f>
        <v>1080</v>
      </c>
      <c r="E435" s="270" t="s">
        <v>1020</v>
      </c>
      <c r="F435" s="263" t="str">
        <f>vlookup(B435,'Geotagging Master All-Training '!$A$2:$C$2474,2,false)</f>
        <v>#N/A</v>
      </c>
      <c r="G435" s="349" t="s">
        <v>20</v>
      </c>
      <c r="H435" s="350"/>
    </row>
    <row r="436" hidden="1">
      <c r="A436" s="258">
        <v>31.0</v>
      </c>
      <c r="B436" s="258">
        <v>31.0</v>
      </c>
      <c r="C436" s="348">
        <v>434.0</v>
      </c>
      <c r="D436" s="261" t="str">
        <f>IFERROR(__xludf.DUMMYFUNCTION("if(B436&lt;=999,if(B436&lt;=99,IF(B436&lt;=9,join(,""000"",B436),join(,""00"",B436)),join(,""0"",B436)),B436)"),"0031")</f>
        <v>0031</v>
      </c>
      <c r="E436" s="270" t="s">
        <v>267</v>
      </c>
      <c r="F436" s="263" t="str">
        <f>vlookup(B436,'Geotagging Master All-Training '!$A$2:$C$2474,2,false)</f>
        <v>#N/A</v>
      </c>
      <c r="G436" s="349" t="s">
        <v>20</v>
      </c>
      <c r="H436" s="350" t="s">
        <v>266</v>
      </c>
    </row>
    <row r="437" hidden="1">
      <c r="A437" s="258">
        <v>1318.0</v>
      </c>
      <c r="B437" s="258">
        <v>1318.0</v>
      </c>
      <c r="C437" s="348">
        <v>435.0</v>
      </c>
      <c r="D437" s="260">
        <f>IFERROR(__xludf.DUMMYFUNCTION("if(B437&lt;=999,if(B437&lt;=99,IF(B437&lt;=9,join(,""000"",B437),join(,""00"",B437)),join(,""0"",B437)),B437)"),1318.0)</f>
        <v>1318</v>
      </c>
      <c r="E437" s="270" t="s">
        <v>1024</v>
      </c>
      <c r="F437" s="263" t="str">
        <f>vlookup(B437,'Geotagging Master All-Training '!$A$2:$C$2474,2,false)</f>
        <v>#N/A</v>
      </c>
      <c r="G437" s="349" t="s">
        <v>20</v>
      </c>
      <c r="H437" s="350">
        <v>25001.0</v>
      </c>
    </row>
    <row r="438" hidden="1">
      <c r="A438" s="258">
        <v>1071.0</v>
      </c>
      <c r="B438" s="258">
        <v>1071.0</v>
      </c>
      <c r="C438" s="348">
        <v>436.0</v>
      </c>
      <c r="D438" s="260">
        <f>IFERROR(__xludf.DUMMYFUNCTION("if(B438&lt;=999,if(B438&lt;=99,IF(B438&lt;=9,join(,""000"",B438),join(,""00"",B438)),join(,""0"",B438)),B438)"),1071.0)</f>
        <v>1071</v>
      </c>
      <c r="E438" s="270" t="s">
        <v>1025</v>
      </c>
      <c r="F438" s="263" t="str">
        <f>vlookup(B438,'Geotagging Master All-Training '!$A$2:$C$2474,2,false)</f>
        <v>#N/A</v>
      </c>
      <c r="G438" s="349" t="s">
        <v>20</v>
      </c>
      <c r="H438" s="350" t="s">
        <v>1026</v>
      </c>
    </row>
    <row r="439" hidden="1">
      <c r="A439" s="258">
        <v>239.0</v>
      </c>
      <c r="B439" s="259">
        <v>239.0</v>
      </c>
      <c r="C439" s="348">
        <v>437.0</v>
      </c>
      <c r="D439" s="273" t="str">
        <f>IFERROR(__xludf.DUMMYFUNCTION("if(B443&lt;=999,if(B443&lt;=99,IF(B443&lt;=9,join(,""000"",B443),join(,""00"",B443)),join(,""0"",B443)),B443)"),"0739")</f>
        <v>0739</v>
      </c>
      <c r="E439" s="270" t="s">
        <v>1027</v>
      </c>
      <c r="F439" s="263" t="str">
        <f>vlookup(B439,'Geotagging Master All-Training '!$A$2:$C$2474,2,false)</f>
        <v>#N/A</v>
      </c>
      <c r="G439" s="349" t="s">
        <v>20</v>
      </c>
      <c r="H439" s="350">
        <v>8080.0</v>
      </c>
    </row>
    <row r="440" hidden="1">
      <c r="A440" s="258">
        <v>1252.0</v>
      </c>
      <c r="B440" s="259">
        <v>1252.0</v>
      </c>
      <c r="C440" s="348">
        <v>438.0</v>
      </c>
      <c r="D440" s="260">
        <f>IFERROR(__xludf.DUMMYFUNCTION("if(B440&lt;=999,if(B440&lt;=99,IF(B440&lt;=9,join(,""000"",B440),join(,""00"",B440)),join(,""0"",B440)),B440)"),1252.0)</f>
        <v>1252</v>
      </c>
      <c r="E440" s="262" t="s">
        <v>1028</v>
      </c>
      <c r="F440" s="263" t="str">
        <f>vlookup(B440,'Geotagging Master All-Training '!$A$2:$C$2474,2,false)</f>
        <v>#N/A</v>
      </c>
      <c r="G440" s="349" t="s">
        <v>20</v>
      </c>
      <c r="H440" s="350" t="s">
        <v>1029</v>
      </c>
    </row>
    <row r="441" ht="15.75" hidden="1" customHeight="1">
      <c r="A441" s="258">
        <v>1216.0</v>
      </c>
      <c r="B441" s="258">
        <v>1216.0</v>
      </c>
      <c r="C441" s="348">
        <v>439.0</v>
      </c>
      <c r="D441" s="260">
        <f>IFERROR(__xludf.DUMMYFUNCTION("if(B441&lt;=999,if(B441&lt;=99,IF(B441&lt;=9,join(,""000"",B441),join(,""00"",B441)),join(,""0"",B441)),B441)"),1216.0)</f>
        <v>1216</v>
      </c>
      <c r="E441" s="262" t="s">
        <v>1031</v>
      </c>
      <c r="F441" s="263" t="str">
        <f>vlookup(B441,'Geotagging Master All-Training '!$A$2:$C$2474,2,false)</f>
        <v>#N/A</v>
      </c>
      <c r="G441" s="349" t="s">
        <v>20</v>
      </c>
      <c r="H441" s="350" t="e">
        <v>#N/A</v>
      </c>
    </row>
    <row r="442" hidden="1">
      <c r="A442" s="258">
        <v>1406.0</v>
      </c>
      <c r="B442" s="259">
        <v>1406.0</v>
      </c>
      <c r="C442" s="348">
        <v>440.0</v>
      </c>
      <c r="D442" s="260">
        <f>IFERROR(__xludf.DUMMYFUNCTION("if(B442&lt;=999,if(B442&lt;=99,IF(B442&lt;=9,join(,""000"",B442),join(,""00"",B442)),join(,""0"",B442)),B442)"),1406.0)</f>
        <v>1406</v>
      </c>
      <c r="E442" s="270" t="s">
        <v>1033</v>
      </c>
      <c r="F442" s="263" t="str">
        <f>vlookup(B442,'Geotagging Master All-Training '!$A$2:$C$2474,2,false)</f>
        <v>#N/A</v>
      </c>
      <c r="G442" s="349" t="s">
        <v>20</v>
      </c>
      <c r="H442" s="350" t="e">
        <v>#N/A</v>
      </c>
    </row>
    <row r="443" hidden="1">
      <c r="A443" s="272">
        <v>739.0</v>
      </c>
      <c r="B443" s="272">
        <v>739.0</v>
      </c>
      <c r="C443" s="348">
        <v>441.0</v>
      </c>
      <c r="D443" s="318">
        <v>739.0</v>
      </c>
      <c r="E443" s="304" t="s">
        <v>1034</v>
      </c>
      <c r="F443" s="263" t="str">
        <f>vlookup(B443,'Geotagging Master All-Training '!$A$2:$C$2474,2,false)</f>
        <v>#N/A</v>
      </c>
      <c r="G443" s="351" t="s">
        <v>20</v>
      </c>
      <c r="H443" s="352" t="s">
        <v>1037</v>
      </c>
    </row>
    <row r="444" hidden="1">
      <c r="A444" s="258">
        <v>119.0</v>
      </c>
      <c r="B444" s="258">
        <v>119.0</v>
      </c>
      <c r="C444" s="348">
        <v>442.0</v>
      </c>
      <c r="D444" s="260" t="str">
        <f>IFERROR(__xludf.DUMMYFUNCTION("if(B444&lt;=999,if(B444&lt;=99,IF(B444&lt;=9,join(,""000"",B444),join(,""00"",B444)),join(,""0"",B444)),B444)"),"0119")</f>
        <v>0119</v>
      </c>
      <c r="E444" s="262" t="s">
        <v>1039</v>
      </c>
      <c r="F444" s="263" t="str">
        <f>vlookup(B444,'Geotagging Master All-Training '!$A$2:$C$2474,2,false)</f>
        <v>#N/A</v>
      </c>
      <c r="G444" s="349" t="s">
        <v>20</v>
      </c>
      <c r="H444" s="350">
        <v>81.0</v>
      </c>
    </row>
    <row r="445" hidden="1">
      <c r="A445" s="258">
        <v>87.0</v>
      </c>
      <c r="B445" s="258">
        <v>87.0</v>
      </c>
      <c r="C445" s="348">
        <v>443.0</v>
      </c>
      <c r="D445" s="260" t="str">
        <f>IFERROR(__xludf.DUMMYFUNCTION("if(B445&lt;=999,if(B445&lt;=99,IF(B445&lt;=9,join(,""000"",B445),join(,""00"",B445)),join(,""0"",B445)),B445)"),"0087")</f>
        <v>0087</v>
      </c>
      <c r="E445" s="262" t="s">
        <v>1042</v>
      </c>
      <c r="F445" s="263" t="str">
        <f>vlookup(B445,'Geotagging Master All-Training '!$A$2:$C$2474,2,false)</f>
        <v>#N/A</v>
      </c>
      <c r="G445" s="349" t="s">
        <v>20</v>
      </c>
      <c r="H445" s="350">
        <v>81.0</v>
      </c>
    </row>
    <row r="446" hidden="1">
      <c r="A446" s="258">
        <v>1280.0</v>
      </c>
      <c r="B446" s="258">
        <v>1280.0</v>
      </c>
      <c r="C446" s="348">
        <v>444.0</v>
      </c>
      <c r="D446" s="260">
        <f>IFERROR(__xludf.DUMMYFUNCTION("if(B446&lt;=999,if(B446&lt;=99,IF(B446&lt;=9,join(,""000"",B446),join(,""00"",B446)),join(,""0"",B446)),B446)"),1280.0)</f>
        <v>1280</v>
      </c>
      <c r="E446" s="270" t="s">
        <v>1043</v>
      </c>
      <c r="F446" s="263" t="str">
        <f>vlookup(B446,'Geotagging Master All-Training '!$A$2:$C$2474,2,false)</f>
        <v>#N/A</v>
      </c>
      <c r="G446" s="349" t="s">
        <v>20</v>
      </c>
      <c r="H446" s="350" t="s">
        <v>244</v>
      </c>
    </row>
    <row r="447" hidden="1">
      <c r="A447" s="258">
        <v>251.0</v>
      </c>
      <c r="B447" s="258">
        <v>251.0</v>
      </c>
      <c r="C447" s="348">
        <v>445.0</v>
      </c>
      <c r="D447" s="260" t="str">
        <f>IFERROR(__xludf.DUMMYFUNCTION("if(B447&lt;=999,if(B447&lt;=99,IF(B447&lt;=9,join(,""000"",B447),join(,""00"",B447)),join(,""0"",B447)),B447)"),"0251")</f>
        <v>0251</v>
      </c>
      <c r="E447" s="270" t="s">
        <v>1044</v>
      </c>
      <c r="F447" s="263" t="str">
        <f>vlookup(B447,'Geotagging Master All-Training '!$A$2:$C$2474,2,false)</f>
        <v>#N/A</v>
      </c>
      <c r="G447" s="349" t="s">
        <v>20</v>
      </c>
      <c r="H447" s="350" t="e">
        <v>#N/A</v>
      </c>
    </row>
    <row r="448" hidden="1">
      <c r="A448" s="258">
        <v>1197.0</v>
      </c>
      <c r="B448" s="258">
        <v>1197.0</v>
      </c>
      <c r="C448" s="348">
        <v>446.0</v>
      </c>
      <c r="D448" s="260">
        <f>IFERROR(__xludf.DUMMYFUNCTION("if(B448&lt;=999,if(B448&lt;=99,IF(B448&lt;=9,join(,""000"",B448),join(,""00"",B448)),join(,""0"",B448)),B448)"),1197.0)</f>
        <v>1197</v>
      </c>
      <c r="E448" s="270" t="s">
        <v>1045</v>
      </c>
      <c r="F448" s="263" t="str">
        <f>vlookup(B448,'Geotagging Master All-Training '!$A$2:$C$2474,2,false)</f>
        <v>#N/A</v>
      </c>
      <c r="G448" s="349" t="s">
        <v>20</v>
      </c>
      <c r="H448" s="350" t="s">
        <v>1046</v>
      </c>
    </row>
    <row r="449">
      <c r="A449" s="272">
        <v>1096.0</v>
      </c>
      <c r="B449" s="272">
        <v>1096.0</v>
      </c>
      <c r="C449" s="353">
        <v>25.0</v>
      </c>
      <c r="D449" s="273">
        <v>1096.0</v>
      </c>
      <c r="E449" s="304" t="s">
        <v>416</v>
      </c>
      <c r="F449" s="303" t="s">
        <v>1377</v>
      </c>
      <c r="G449" s="351" t="s">
        <v>35</v>
      </c>
      <c r="H449" s="352" t="e">
        <v>#N/A</v>
      </c>
    </row>
    <row r="450">
      <c r="A450" s="272">
        <v>467.0</v>
      </c>
      <c r="B450" s="272">
        <v>467.0</v>
      </c>
      <c r="C450" s="353">
        <v>26.0</v>
      </c>
      <c r="D450" s="273" t="s">
        <v>1378</v>
      </c>
      <c r="E450" s="304" t="s">
        <v>1060</v>
      </c>
      <c r="F450" s="303" t="s">
        <v>1379</v>
      </c>
      <c r="G450" s="351" t="s">
        <v>35</v>
      </c>
      <c r="H450" s="352" t="e">
        <v>#N/A</v>
      </c>
    </row>
    <row r="451" hidden="1">
      <c r="A451" s="258">
        <v>518.0</v>
      </c>
      <c r="B451" s="258">
        <v>518.0</v>
      </c>
      <c r="C451" s="348">
        <v>449.0</v>
      </c>
      <c r="D451" s="260" t="str">
        <f>IFERROR(__xludf.DUMMYFUNCTION("if(B451&lt;=999,if(B451&lt;=99,IF(B451&lt;=9,join(,""000"",B451),join(,""00"",B451)),join(,""0"",B451)),B451)"),"0518")</f>
        <v>0518</v>
      </c>
      <c r="E451" s="270" t="s">
        <v>1052</v>
      </c>
      <c r="F451" s="263" t="str">
        <f>vlookup(B451,'Geotagging Master All-Training '!$A$2:$C$2474,2,false)</f>
        <v>#N/A</v>
      </c>
      <c r="G451" s="349" t="s">
        <v>20</v>
      </c>
      <c r="H451" s="350">
        <v>32.0</v>
      </c>
    </row>
    <row r="452" hidden="1">
      <c r="A452" s="258">
        <v>338.0</v>
      </c>
      <c r="B452" s="258">
        <v>338.0</v>
      </c>
      <c r="C452" s="348">
        <v>450.0</v>
      </c>
      <c r="D452" s="260" t="str">
        <f>IFERROR(__xludf.DUMMYFUNCTION("if(B452&lt;=999,if(B452&lt;=99,IF(B452&lt;=9,join(,""000"",B452),join(,""00"",B452)),join(,""0"",B452)),B452)"),"0338")</f>
        <v>0338</v>
      </c>
      <c r="E452" s="262" t="s">
        <v>1053</v>
      </c>
      <c r="F452" s="263" t="str">
        <f>vlookup(B452,'Geotagging Master All-Training '!$A$2:$C$2474,2,false)</f>
        <v>#N/A</v>
      </c>
      <c r="G452" s="349" t="s">
        <v>20</v>
      </c>
      <c r="H452" s="350" t="s">
        <v>684</v>
      </c>
    </row>
    <row r="453" hidden="1">
      <c r="A453" s="258">
        <v>1374.0</v>
      </c>
      <c r="B453" s="258">
        <v>1374.0</v>
      </c>
      <c r="C453" s="348">
        <v>451.0</v>
      </c>
      <c r="D453" s="260">
        <f>IFERROR(__xludf.DUMMYFUNCTION("if(B453&lt;=999,if(B453&lt;=99,IF(B453&lt;=9,join(,""000"",B453),join(,""00"",B453)),join(,""0"",B453)),B453)"),1374.0)</f>
        <v>1374</v>
      </c>
      <c r="E453" s="262" t="s">
        <v>1055</v>
      </c>
      <c r="F453" s="263" t="str">
        <f>vlookup(B453,'Geotagging Master All-Training '!$A$2:$C$2474,2,false)</f>
        <v>#N/A</v>
      </c>
      <c r="G453" s="349" t="s">
        <v>20</v>
      </c>
      <c r="H453" s="350" t="e">
        <v>#N/A</v>
      </c>
    </row>
    <row r="454" hidden="1">
      <c r="A454" s="258">
        <v>1286.0</v>
      </c>
      <c r="B454" s="258">
        <v>1286.0</v>
      </c>
      <c r="C454" s="348">
        <v>452.0</v>
      </c>
      <c r="D454" s="260">
        <f>IFERROR(__xludf.DUMMYFUNCTION("if(B454&lt;=999,if(B454&lt;=99,IF(B454&lt;=9,join(,""000"",B454),join(,""00"",B454)),join(,""0"",B454)),B454)"),1286.0)</f>
        <v>1286</v>
      </c>
      <c r="E454" s="262" t="s">
        <v>1057</v>
      </c>
      <c r="F454" s="263" t="str">
        <f>vlookup(B454,'Geotagging Master All-Training '!$A$2:$C$2474,2,false)</f>
        <v>#N/A</v>
      </c>
      <c r="G454" s="349" t="s">
        <v>20</v>
      </c>
      <c r="H454" s="350">
        <v>29.0</v>
      </c>
    </row>
    <row r="455" hidden="1">
      <c r="A455" s="258">
        <v>1399.0</v>
      </c>
      <c r="B455" s="259">
        <v>1399.0</v>
      </c>
      <c r="C455" s="348">
        <v>453.0</v>
      </c>
      <c r="D455" s="260">
        <f>IFERROR(__xludf.DUMMYFUNCTION("if(B455&lt;=999,if(B455&lt;=99,IF(B455&lt;=9,join(,""000"",B455),join(,""00"",B455)),join(,""0"",B455)),B455)"),1399.0)</f>
        <v>1399</v>
      </c>
      <c r="E455" s="270" t="s">
        <v>494</v>
      </c>
      <c r="F455" s="263" t="str">
        <f>vlookup(B455,'Geotagging Master All-Training '!$A$2:$C$2474,2,false)</f>
        <v>#N/A</v>
      </c>
      <c r="G455" s="349" t="s">
        <v>20</v>
      </c>
      <c r="H455" s="350">
        <v>5005.0</v>
      </c>
    </row>
    <row r="456" hidden="1">
      <c r="A456" s="258">
        <v>1153.0</v>
      </c>
      <c r="B456" s="258">
        <v>1153.0</v>
      </c>
      <c r="C456" s="348">
        <v>454.0</v>
      </c>
      <c r="D456" s="260">
        <f>IFERROR(__xludf.DUMMYFUNCTION("if(B456&lt;=999,if(B456&lt;=99,IF(B456&lt;=9,join(,""000"",B456),join(,""00"",B456)),join(,""0"",B456)),B456)"),1153.0)</f>
        <v>1153</v>
      </c>
      <c r="E456" s="270" t="s">
        <v>1059</v>
      </c>
      <c r="F456" s="263" t="str">
        <f>vlookup(B456,'Geotagging Master All-Training '!$A$2:$C$2474,2,false)</f>
        <v>#N/A</v>
      </c>
      <c r="G456" s="349" t="s">
        <v>20</v>
      </c>
      <c r="H456" s="350">
        <v>16.0</v>
      </c>
    </row>
    <row r="457">
      <c r="A457" s="272">
        <v>534.0</v>
      </c>
      <c r="B457" s="272">
        <v>534.0</v>
      </c>
      <c r="C457" s="353">
        <v>27.0</v>
      </c>
      <c r="D457" s="273" t="s">
        <v>1409</v>
      </c>
      <c r="E457" s="304" t="s">
        <v>1077</v>
      </c>
      <c r="F457" s="303" t="s">
        <v>1410</v>
      </c>
      <c r="G457" s="351" t="s">
        <v>35</v>
      </c>
      <c r="H457" s="352" t="e">
        <v>#N/A</v>
      </c>
    </row>
    <row r="458" hidden="1">
      <c r="A458" s="272">
        <v>1371.0</v>
      </c>
      <c r="B458" s="272">
        <v>1371.0</v>
      </c>
      <c r="C458" s="348">
        <v>456.0</v>
      </c>
      <c r="D458" s="273">
        <f>IFERROR(__xludf.DUMMYFUNCTION("if(B458&lt;=999,if(B458&lt;=99,IF(B458&lt;=9,join(,""000"",B458),join(,""00"",B458)),join(,""0"",B458)),B458)"),1371.0)</f>
        <v>1371</v>
      </c>
      <c r="E458" s="274" t="s">
        <v>1061</v>
      </c>
      <c r="F458" s="263" t="str">
        <f>vlookup(B458,'Geotagging Master All-Training '!$A$2:$C$2474,2,false)</f>
        <v>#N/A</v>
      </c>
      <c r="G458" s="351" t="s">
        <v>20</v>
      </c>
      <c r="H458" s="352">
        <v>32.0</v>
      </c>
    </row>
    <row r="459" hidden="1">
      <c r="A459" s="258">
        <v>1325.0</v>
      </c>
      <c r="B459" s="258">
        <v>1325.0</v>
      </c>
      <c r="C459" s="348">
        <v>457.0</v>
      </c>
      <c r="D459" s="260">
        <f>IFERROR(__xludf.DUMMYFUNCTION("if(B459&lt;=999,if(B459&lt;=99,IF(B459&lt;=9,join(,""000"",B459),join(,""00"",B459)),join(,""0"",B459)),B459)"),1325.0)</f>
        <v>1325</v>
      </c>
      <c r="E459" s="270" t="s">
        <v>1064</v>
      </c>
      <c r="F459" s="263" t="str">
        <f>vlookup(B459,'Geotagging Master All-Training '!$A$2:$C$2474,2,false)</f>
        <v>#N/A</v>
      </c>
      <c r="G459" s="349" t="s">
        <v>20</v>
      </c>
      <c r="H459" s="350" t="e">
        <v>#N/A</v>
      </c>
    </row>
    <row r="460" hidden="1">
      <c r="A460" s="258">
        <v>1027.0</v>
      </c>
      <c r="B460" s="258">
        <v>1027.0</v>
      </c>
      <c r="C460" s="348">
        <v>458.0</v>
      </c>
      <c r="D460" s="260">
        <f>IFERROR(__xludf.DUMMYFUNCTION("if(B460&lt;=999,if(B460&lt;=99,IF(B460&lt;=9,join(,""000"",B460),join(,""00"",B460)),join(,""0"",B460)),B460)"),1027.0)</f>
        <v>1027</v>
      </c>
      <c r="E460" s="270" t="s">
        <v>1066</v>
      </c>
      <c r="F460" s="263" t="str">
        <f>vlookup(B460,'Geotagging Master All-Training '!$A$2:$C$2474,2,false)</f>
        <v>#N/A</v>
      </c>
      <c r="G460" s="360" t="s">
        <v>20</v>
      </c>
      <c r="H460" s="361"/>
    </row>
    <row r="461" hidden="1">
      <c r="A461" s="258">
        <v>531.0</v>
      </c>
      <c r="B461" s="258">
        <v>531.0</v>
      </c>
      <c r="C461" s="348">
        <v>459.0</v>
      </c>
      <c r="D461" s="260" t="str">
        <f>IFERROR(__xludf.DUMMYFUNCTION("if(B461&lt;=999,if(B461&lt;=99,IF(B461&lt;=9,join(,""000"",B461),join(,""00"",B461)),join(,""0"",B461)),B461)"),"0531")</f>
        <v>0531</v>
      </c>
      <c r="E461" s="270" t="s">
        <v>1067</v>
      </c>
      <c r="F461" s="263" t="str">
        <f>vlookup(B461,'Geotagging Master All-Training '!$A$2:$C$2474,2,false)</f>
        <v>#N/A</v>
      </c>
      <c r="G461" s="349" t="s">
        <v>20</v>
      </c>
      <c r="H461" s="350">
        <v>8.0812374E7</v>
      </c>
    </row>
    <row r="462" hidden="1">
      <c r="A462" s="258">
        <v>674.0</v>
      </c>
      <c r="B462" s="258">
        <v>674.0</v>
      </c>
      <c r="C462" s="348">
        <v>460.0</v>
      </c>
      <c r="D462" s="260" t="str">
        <f>IFERROR(__xludf.DUMMYFUNCTION("if(B462&lt;=999,if(B462&lt;=99,IF(B462&lt;=9,join(,""000"",B462),join(,""00"",B462)),join(,""0"",B462)),B462)"),"0674")</f>
        <v>0674</v>
      </c>
      <c r="E462" s="270" t="s">
        <v>1068</v>
      </c>
      <c r="F462" s="263" t="str">
        <f>vlookup(B462,'Geotagging Master All-Training '!$A$2:$C$2474,2,false)</f>
        <v>#N/A</v>
      </c>
      <c r="G462" s="349" t="s">
        <v>20</v>
      </c>
      <c r="H462" s="350" t="s">
        <v>717</v>
      </c>
    </row>
    <row r="463" hidden="1">
      <c r="A463" s="258">
        <v>1117.0</v>
      </c>
      <c r="B463" s="258">
        <v>1117.0</v>
      </c>
      <c r="C463" s="348">
        <v>461.0</v>
      </c>
      <c r="D463" s="260">
        <f>IFERROR(__xludf.DUMMYFUNCTION("if(B463&lt;=999,if(B463&lt;=99,IF(B463&lt;=9,join(,""000"",B463),join(,""00"",B463)),join(,""0"",B463)),B463)"),1117.0)</f>
        <v>1117</v>
      </c>
      <c r="E463" s="270" t="s">
        <v>1069</v>
      </c>
      <c r="F463" s="263" t="str">
        <f>vlookup(B463,'Geotagging Master All-Training '!$A$2:$C$2474,2,false)</f>
        <v>#N/A</v>
      </c>
      <c r="G463" s="349" t="s">
        <v>20</v>
      </c>
      <c r="H463" s="350" t="s">
        <v>1013</v>
      </c>
    </row>
    <row r="464" hidden="1">
      <c r="A464" s="258">
        <v>828.0</v>
      </c>
      <c r="B464" s="258">
        <v>828.0</v>
      </c>
      <c r="C464" s="348">
        <v>462.0</v>
      </c>
      <c r="D464" s="260" t="str">
        <f>IFERROR(__xludf.DUMMYFUNCTION("if(B464&lt;=999,if(B464&lt;=99,IF(B464&lt;=9,join(,""000"",B464),join(,""00"",B464)),join(,""0"",B464)),B464)"),"0828")</f>
        <v>0828</v>
      </c>
      <c r="E464" s="270" t="s">
        <v>1070</v>
      </c>
      <c r="F464" s="263" t="str">
        <f>vlookup(B464,'Geotagging Master All-Training '!$A$2:$C$2474,2,false)</f>
        <v>#N/A</v>
      </c>
      <c r="G464" s="349" t="s">
        <v>20</v>
      </c>
      <c r="H464" s="350" t="s">
        <v>717</v>
      </c>
    </row>
    <row r="465" hidden="1">
      <c r="A465" s="258">
        <v>52.0</v>
      </c>
      <c r="B465" s="259">
        <v>52.0</v>
      </c>
      <c r="C465" s="348">
        <v>463.0</v>
      </c>
      <c r="D465" s="260" t="str">
        <f>IFERROR(__xludf.DUMMYFUNCTION("if(B465&lt;=999,if(B465&lt;=99,IF(B465&lt;=9,join(,""000"",B465),join(,""00"",B465)),join(,""0"",B465)),B465)"),"0052")</f>
        <v>0052</v>
      </c>
      <c r="E465" s="270" t="s">
        <v>1071</v>
      </c>
      <c r="F465" s="263" t="str">
        <f>vlookup(B465,'Geotagging Master All-Training '!$A$2:$C$2474,2,false)</f>
        <v>#N/A</v>
      </c>
      <c r="G465" s="349" t="s">
        <v>20</v>
      </c>
      <c r="H465" s="350" t="e">
        <v>#N/A</v>
      </c>
    </row>
    <row r="466" hidden="1">
      <c r="A466" s="258">
        <v>33.0</v>
      </c>
      <c r="B466" s="258">
        <v>33.0</v>
      </c>
      <c r="C466" s="348">
        <v>464.0</v>
      </c>
      <c r="D466" s="260" t="str">
        <f>IFERROR(__xludf.DUMMYFUNCTION("if(B466&lt;=999,if(B466&lt;=99,IF(B466&lt;=9,join(,""000"",B466),join(,""00"",B466)),join(,""0"",B466)),B466)"),"0033")</f>
        <v>0033</v>
      </c>
      <c r="E466" s="270" t="s">
        <v>1072</v>
      </c>
      <c r="F466" s="263" t="str">
        <f>vlookup(B466,'Geotagging Master All-Training '!$A$2:$C$2474,2,false)</f>
        <v>#N/A</v>
      </c>
      <c r="G466" s="349" t="s">
        <v>20</v>
      </c>
      <c r="H466" s="350" t="e">
        <v>#N/A</v>
      </c>
    </row>
    <row r="467" hidden="1">
      <c r="A467" s="258">
        <v>1014.0</v>
      </c>
      <c r="B467" s="258">
        <v>1014.0</v>
      </c>
      <c r="C467" s="348">
        <v>465.0</v>
      </c>
      <c r="D467" s="260">
        <f>IFERROR(__xludf.DUMMYFUNCTION("if(B467&lt;=999,if(B467&lt;=99,IF(B467&lt;=9,join(,""000"",B467),join(,""00"",B467)),join(,""0"",B467)),B467)"),1014.0)</f>
        <v>1014</v>
      </c>
      <c r="E467" s="270" t="s">
        <v>1073</v>
      </c>
      <c r="F467" s="263" t="str">
        <f>vlookup(B467,'Geotagging Master All-Training '!$A$2:$C$2474,2,false)</f>
        <v>#N/A</v>
      </c>
      <c r="G467" s="349" t="s">
        <v>20</v>
      </c>
      <c r="H467" s="350" t="e">
        <v>#N/A</v>
      </c>
    </row>
    <row r="468" hidden="1">
      <c r="A468" s="258">
        <v>1183.0</v>
      </c>
      <c r="B468" s="259">
        <v>1183.0</v>
      </c>
      <c r="C468" s="348">
        <v>466.0</v>
      </c>
      <c r="D468" s="260">
        <f>IFERROR(__xludf.DUMMYFUNCTION("if(B468&lt;=999,if(B468&lt;=99,IF(B468&lt;=9,join(,""000"",B468),join(,""00"",B468)),join(,""0"",B468)),B468)"),1183.0)</f>
        <v>1183</v>
      </c>
      <c r="E468" s="270" t="s">
        <v>1074</v>
      </c>
      <c r="F468" s="263" t="str">
        <f>vlookup(B468,'Geotagging Master All-Training '!$A$2:$C$2474,2,false)</f>
        <v>#N/A</v>
      </c>
      <c r="G468" s="349" t="s">
        <v>20</v>
      </c>
      <c r="H468" s="350">
        <v>5.0</v>
      </c>
    </row>
    <row r="469" hidden="1">
      <c r="A469" s="272">
        <v>1428.0</v>
      </c>
      <c r="B469" s="272">
        <v>1428.0</v>
      </c>
      <c r="C469" s="353">
        <v>470.0</v>
      </c>
      <c r="D469" s="273">
        <f>IFERROR(__xludf.DUMMYFUNCTION("if(B469&lt;=999,if(B469&lt;=99,IF(B469&lt;=9,join(,""000"",B469),join(,""00"",B469)),join(,""0"",B469)),B469)"),1428.0)</f>
        <v>1428</v>
      </c>
      <c r="E469" s="304" t="s">
        <v>1058</v>
      </c>
      <c r="F469" s="303" t="str">
        <f>vlookup(B469,'Geotagging Master All-Training '!$A$2:$C$2474,2,false)</f>
        <v>#N/A</v>
      </c>
      <c r="G469" s="351" t="s">
        <v>20</v>
      </c>
      <c r="H469" s="352"/>
    </row>
    <row r="470" hidden="1">
      <c r="A470" s="258">
        <v>50.0</v>
      </c>
      <c r="B470" s="258">
        <v>50.0</v>
      </c>
      <c r="C470" s="348">
        <v>468.0</v>
      </c>
      <c r="D470" s="260" t="str">
        <f>IFERROR(__xludf.DUMMYFUNCTION("if(B470&lt;=999,if(B470&lt;=99,IF(B470&lt;=9,join(,""000"",B470),join(,""00"",B470)),join(,""0"",B470)),B470)"),"0050")</f>
        <v>0050</v>
      </c>
      <c r="E470" s="270" t="s">
        <v>1023</v>
      </c>
      <c r="F470" s="263" t="str">
        <f>vlookup(B470,'Geotagging Master All-Training '!$A$2:$C$2474,2,false)</f>
        <v>#N/A</v>
      </c>
      <c r="G470" s="349" t="s">
        <v>35</v>
      </c>
      <c r="H470" s="350">
        <v>8000.0</v>
      </c>
    </row>
    <row r="471" hidden="1">
      <c r="A471" s="258">
        <v>1370.0</v>
      </c>
      <c r="B471" s="258">
        <v>1370.0</v>
      </c>
      <c r="C471" s="348">
        <v>469.0</v>
      </c>
      <c r="D471" s="260">
        <f>IFERROR(__xludf.DUMMYFUNCTION("if(B471&lt;=999,if(B471&lt;=99,IF(B471&lt;=9,join(,""000"",B471),join(,""00"",B471)),join(,""0"",B471)),B471)"),1370.0)</f>
        <v>1370</v>
      </c>
      <c r="E471" s="270" t="s">
        <v>1079</v>
      </c>
      <c r="F471" s="263" t="str">
        <f>vlookup(B471,'Geotagging Master All-Training '!$A$2:$C$2474,2,false)</f>
        <v>#N/A</v>
      </c>
      <c r="G471" s="349" t="s">
        <v>20</v>
      </c>
      <c r="H471" s="350">
        <v>6.0</v>
      </c>
    </row>
    <row r="472" hidden="1">
      <c r="A472" s="272">
        <v>1404.0</v>
      </c>
      <c r="B472" s="272">
        <v>1404.0</v>
      </c>
      <c r="C472" s="353">
        <v>495.0</v>
      </c>
      <c r="D472" s="273">
        <f>IFERROR(__xludf.DUMMYFUNCTION("if(B472&lt;=999,if(B472&lt;=99,IF(B472&lt;=9,join(,""000"",B472),join(,""00"",B472)),join(,""0"",B472)),B472)"),1404.0)</f>
        <v>1404</v>
      </c>
      <c r="E472" s="304" t="s">
        <v>1127</v>
      </c>
      <c r="F472" s="303" t="str">
        <f>vlookup(B472,'Geotagging Master All-Training '!$A$2:$C$2474,2,false)</f>
        <v>#N/A</v>
      </c>
      <c r="G472" s="351" t="s">
        <v>20</v>
      </c>
      <c r="H472" s="352" t="e">
        <v>#N/A</v>
      </c>
    </row>
    <row r="473" hidden="1">
      <c r="A473" s="258">
        <v>669.0</v>
      </c>
      <c r="B473" s="258">
        <v>669.0</v>
      </c>
      <c r="C473" s="348">
        <v>471.0</v>
      </c>
      <c r="D473" s="260" t="str">
        <f>IFERROR(__xludf.DUMMYFUNCTION("if(B473&lt;=999,if(B473&lt;=99,IF(B473&lt;=9,join(,""000"",B473),join(,""00"",B473)),join(,""0"",B473)),B473)"),"0669")</f>
        <v>0669</v>
      </c>
      <c r="E473" s="270" t="s">
        <v>1081</v>
      </c>
      <c r="F473" s="263" t="str">
        <f>vlookup(B473,'Geotagging Master All-Training '!$A$2:$C$2474,2,false)</f>
        <v>#N/A</v>
      </c>
      <c r="G473" s="349" t="s">
        <v>20</v>
      </c>
      <c r="H473" s="350" t="s">
        <v>1083</v>
      </c>
    </row>
    <row r="474" hidden="1">
      <c r="A474" s="258">
        <v>163.0</v>
      </c>
      <c r="B474" s="258">
        <v>163.0</v>
      </c>
      <c r="C474" s="348">
        <v>472.0</v>
      </c>
      <c r="D474" s="260" t="str">
        <f>IFERROR(__xludf.DUMMYFUNCTION("if(B474&lt;=999,if(B474&lt;=99,IF(B474&lt;=9,join(,""000"",B474),join(,""00"",B474)),join(,""0"",B474)),B474)"),"0163")</f>
        <v>0163</v>
      </c>
      <c r="E474" s="262" t="s">
        <v>1087</v>
      </c>
      <c r="F474" s="263" t="str">
        <f>vlookup(B474,'Geotagging Master All-Training '!$A$2:$C$2474,2,false)</f>
        <v>#N/A</v>
      </c>
      <c r="G474" s="349" t="s">
        <v>20</v>
      </c>
      <c r="H474" s="350">
        <v>8.0</v>
      </c>
    </row>
    <row r="475" hidden="1">
      <c r="A475" s="258">
        <v>640.0</v>
      </c>
      <c r="B475" s="259">
        <v>640.0</v>
      </c>
      <c r="C475" s="348">
        <v>473.0</v>
      </c>
      <c r="D475" s="260" t="str">
        <f>IFERROR(__xludf.DUMMYFUNCTION("if(B475&lt;=999,if(B475&lt;=99,IF(B475&lt;=9,join(,""000"",B475),join(,""00"",B475)),join(,""0"",B475)),B475)"),"0640")</f>
        <v>0640</v>
      </c>
      <c r="E475" s="270" t="s">
        <v>1089</v>
      </c>
      <c r="F475" s="263" t="str">
        <f>vlookup(B475,'Geotagging Master All-Training '!$A$2:$C$2474,2,false)</f>
        <v>#N/A</v>
      </c>
      <c r="G475" s="349" t="s">
        <v>20</v>
      </c>
      <c r="H475" s="350">
        <v>8000.0</v>
      </c>
    </row>
    <row r="476" hidden="1">
      <c r="A476" s="258">
        <v>1432.0</v>
      </c>
      <c r="B476" s="258">
        <v>1432.0</v>
      </c>
      <c r="C476" s="348">
        <v>474.0</v>
      </c>
      <c r="D476" s="260">
        <f>IFERROR(__xludf.DUMMYFUNCTION("if(B476&lt;=999,if(B476&lt;=99,IF(B476&lt;=9,join(,""000"",B476),join(,""00"",B476)),join(,""0"",B476)),B476)"),1432.0)</f>
        <v>1432</v>
      </c>
      <c r="E476" s="270" t="s">
        <v>1090</v>
      </c>
      <c r="F476" s="263" t="str">
        <f>vlookup(B476,'Geotagging Master All-Training '!$A$2:$C$2474,2,false)</f>
        <v>#N/A</v>
      </c>
      <c r="G476" s="349" t="s">
        <v>20</v>
      </c>
      <c r="H476" s="350" t="s">
        <v>1091</v>
      </c>
    </row>
    <row r="477" hidden="1">
      <c r="A477" s="258">
        <v>1101.0</v>
      </c>
      <c r="B477" s="258">
        <v>1101.0</v>
      </c>
      <c r="C477" s="348">
        <v>475.0</v>
      </c>
      <c r="D477" s="260">
        <f>IFERROR(__xludf.DUMMYFUNCTION("if(B477&lt;=999,if(B477&lt;=99,IF(B477&lt;=9,join(,""000"",B477),join(,""00"",B477)),join(,""0"",B477)),B477)"),1101.0)</f>
        <v>1101</v>
      </c>
      <c r="E477" s="270" t="s">
        <v>1092</v>
      </c>
      <c r="F477" s="263" t="str">
        <f>vlookup(B477,'Geotagging Master All-Training '!$A$2:$C$2474,2,false)</f>
        <v>#N/A</v>
      </c>
      <c r="G477" s="349" t="s">
        <v>20</v>
      </c>
      <c r="H477" s="350">
        <v>16.0</v>
      </c>
    </row>
    <row r="478" hidden="1">
      <c r="A478" s="258">
        <v>1095.0</v>
      </c>
      <c r="B478" s="258">
        <v>1095.0</v>
      </c>
      <c r="C478" s="348">
        <v>476.0</v>
      </c>
      <c r="D478" s="260">
        <f>IFERROR(__xludf.DUMMYFUNCTION("if(B478&lt;=999,if(B478&lt;=99,IF(B478&lt;=9,join(,""000"",B478),join(,""00"",B478)),join(,""0"",B478)),B478)"),1095.0)</f>
        <v>1095</v>
      </c>
      <c r="E478" s="270" t="s">
        <v>1093</v>
      </c>
      <c r="F478" s="263" t="str">
        <f>vlookup(B478,'Geotagging Master All-Training '!$A$2:$C$2474,2,false)</f>
        <v>#N/A</v>
      </c>
      <c r="G478" s="349" t="s">
        <v>20</v>
      </c>
      <c r="H478" s="350"/>
    </row>
    <row r="479" hidden="1">
      <c r="A479" s="258">
        <v>1295.0</v>
      </c>
      <c r="B479" s="259">
        <v>1295.0</v>
      </c>
      <c r="C479" s="348">
        <v>477.0</v>
      </c>
      <c r="D479" s="260">
        <f>IFERROR(__xludf.DUMMYFUNCTION("if(B479&lt;=999,if(B479&lt;=99,IF(B479&lt;=9,join(,""000"",B479),join(,""00"",B479)),join(,""0"",B479)),B479)"),1295.0)</f>
        <v>1295</v>
      </c>
      <c r="E479" s="270" t="s">
        <v>1094</v>
      </c>
      <c r="F479" s="263" t="str">
        <f>vlookup(B479,'Geotagging Master All-Training '!$A$2:$C$2474,2,false)</f>
        <v>#N/A</v>
      </c>
      <c r="G479" s="349" t="s">
        <v>20</v>
      </c>
      <c r="H479" s="350"/>
    </row>
    <row r="480" hidden="1">
      <c r="A480" s="258">
        <v>671.0</v>
      </c>
      <c r="B480" s="258">
        <v>671.0</v>
      </c>
      <c r="C480" s="348">
        <v>478.0</v>
      </c>
      <c r="D480" s="260" t="str">
        <f>IFERROR(__xludf.DUMMYFUNCTION("if(B480&lt;=999,if(B480&lt;=99,IF(B480&lt;=9,join(,""000"",B480),join(,""00"",B480)),join(,""0"",B480)),B480)"),"0671")</f>
        <v>0671</v>
      </c>
      <c r="E480" s="270" t="s">
        <v>1095</v>
      </c>
      <c r="F480" s="263" t="str">
        <f>vlookup(B480,'Geotagging Master All-Training '!$A$2:$C$2474,2,false)</f>
        <v>#N/A</v>
      </c>
      <c r="G480" s="349" t="s">
        <v>20</v>
      </c>
      <c r="H480" s="350"/>
    </row>
    <row r="481" hidden="1">
      <c r="A481" s="258">
        <v>944.0</v>
      </c>
      <c r="B481" s="258">
        <v>944.0</v>
      </c>
      <c r="C481" s="348">
        <v>479.0</v>
      </c>
      <c r="D481" s="260" t="str">
        <f>IFERROR(__xludf.DUMMYFUNCTION("if(B481&lt;=999,if(B481&lt;=99,IF(B481&lt;=9,join(,""000"",B481),join(,""00"",B481)),join(,""0"",B481)),B481)"),"0944")</f>
        <v>0944</v>
      </c>
      <c r="E481" s="270" t="s">
        <v>1096</v>
      </c>
      <c r="F481" s="263" t="str">
        <f>vlookup(B481,'Geotagging Master All-Training '!$A$2:$C$2474,2,false)</f>
        <v>#N/A</v>
      </c>
      <c r="G481" s="349" t="s">
        <v>20</v>
      </c>
      <c r="H481" s="350"/>
    </row>
    <row r="482" hidden="1">
      <c r="A482" s="258">
        <v>1427.0</v>
      </c>
      <c r="B482" s="258">
        <v>1427.0</v>
      </c>
      <c r="C482" s="348">
        <v>480.0</v>
      </c>
      <c r="D482" s="260">
        <f>IFERROR(__xludf.DUMMYFUNCTION("if(B482&lt;=999,if(B482&lt;=99,IF(B482&lt;=9,join(,""000"",B482),join(,""00"",B482)),join(,""0"",B482)),B482)"),1427.0)</f>
        <v>1427</v>
      </c>
      <c r="E482" s="262" t="s">
        <v>1098</v>
      </c>
      <c r="F482" s="263" t="str">
        <f>vlookup(B482,'Geotagging Master All-Training '!$A$2:$C$2474,2,false)</f>
        <v>#N/A</v>
      </c>
      <c r="G482" s="349" t="s">
        <v>20</v>
      </c>
      <c r="H482" s="350" t="s">
        <v>1101</v>
      </c>
    </row>
    <row r="483" hidden="1">
      <c r="A483" s="258">
        <v>1230.0</v>
      </c>
      <c r="B483" s="258">
        <v>1230.0</v>
      </c>
      <c r="C483" s="348">
        <v>481.0</v>
      </c>
      <c r="D483" s="260">
        <f>IFERROR(__xludf.DUMMYFUNCTION("if(B483&lt;=999,if(B483&lt;=99,IF(B483&lt;=9,join(,""000"",B483),join(,""00"",B483)),join(,""0"",B483)),B483)"),1230.0)</f>
        <v>1230</v>
      </c>
      <c r="E483" s="270" t="s">
        <v>1102</v>
      </c>
      <c r="F483" s="263" t="str">
        <f>vlookup(B483,'Geotagging Master All-Training '!$A$2:$C$2474,2,false)</f>
        <v>#N/A</v>
      </c>
      <c r="G483" s="349" t="s">
        <v>20</v>
      </c>
      <c r="H483" s="350">
        <v>443.0</v>
      </c>
    </row>
    <row r="484" hidden="1">
      <c r="A484" s="258">
        <v>238.0</v>
      </c>
      <c r="B484" s="258">
        <v>238.0</v>
      </c>
      <c r="C484" s="348">
        <v>482.0</v>
      </c>
      <c r="D484" s="260" t="str">
        <f>IFERROR(__xludf.DUMMYFUNCTION("if(B484&lt;=999,if(B484&lt;=99,IF(B484&lt;=9,join(,""000"",B484),join(,""00"",B484)),join(,""0"",B484)),B484)"),"0238")</f>
        <v>0238</v>
      </c>
      <c r="E484" s="321" t="s">
        <v>1338</v>
      </c>
      <c r="F484" s="263" t="str">
        <f>vlookup(B484,'Geotagging Master All-Training '!$A$2:$C$2474,2,false)</f>
        <v>#N/A</v>
      </c>
      <c r="G484" s="349" t="s">
        <v>20</v>
      </c>
      <c r="H484" s="350">
        <v>8.0</v>
      </c>
    </row>
    <row r="485" hidden="1">
      <c r="A485" s="258">
        <v>1133.0</v>
      </c>
      <c r="B485" s="258">
        <v>1133.0</v>
      </c>
      <c r="C485" s="348">
        <v>483.0</v>
      </c>
      <c r="D485" s="260">
        <f>IFERROR(__xludf.DUMMYFUNCTION("if(B485&lt;=999,if(B485&lt;=99,IF(B485&lt;=9,join(,""000"",B485),join(,""00"",B485)),join(,""0"",B485)),B485)"),1133.0)</f>
        <v>1133</v>
      </c>
      <c r="E485" s="262" t="s">
        <v>1106</v>
      </c>
      <c r="F485" s="263" t="str">
        <f>vlookup(B485,'Geotagging Master All-Training '!$A$2:$C$2474,2,false)</f>
        <v>#N/A</v>
      </c>
      <c r="G485" s="349" t="s">
        <v>20</v>
      </c>
      <c r="H485" s="350">
        <v>25001.0</v>
      </c>
    </row>
    <row r="486" hidden="1">
      <c r="A486" s="272">
        <v>228.0</v>
      </c>
      <c r="B486" s="272">
        <v>228.0</v>
      </c>
      <c r="C486" s="348">
        <v>484.0</v>
      </c>
      <c r="D486" s="273" t="str">
        <f>IFERROR(__xludf.DUMMYFUNCTION("if(B486&lt;=999,if(B486&lt;=99,IF(B486&lt;=9,join(,""000"",B486),join(,""00"",B486)),join(,""0"",B486)),B486)"),"0228")</f>
        <v>0228</v>
      </c>
      <c r="E486" s="274" t="s">
        <v>1109</v>
      </c>
      <c r="F486" s="263" t="str">
        <f>vlookup(B486,'Geotagging Master All-Training '!$A$2:$C$2474,2,false)</f>
        <v>#N/A</v>
      </c>
      <c r="G486" s="351" t="s">
        <v>20</v>
      </c>
      <c r="H486" s="352">
        <v>16.0</v>
      </c>
    </row>
    <row r="487" hidden="1">
      <c r="A487" s="258">
        <v>682.0</v>
      </c>
      <c r="B487" s="258">
        <v>682.0</v>
      </c>
      <c r="C487" s="348">
        <v>485.0</v>
      </c>
      <c r="D487" s="260" t="str">
        <f>IFERROR(__xludf.DUMMYFUNCTION("if(B487&lt;=999,if(B487&lt;=99,IF(B487&lt;=9,join(,""000"",B487),join(,""00"",B487)),join(,""0"",B487)),B487)"),"0682")</f>
        <v>0682</v>
      </c>
      <c r="E487" s="262" t="s">
        <v>1111</v>
      </c>
      <c r="F487" s="263" t="str">
        <f>vlookup(B487,'Geotagging Master All-Training '!$A$2:$C$2474,2,false)</f>
        <v>#N/A</v>
      </c>
      <c r="G487" s="349" t="s">
        <v>20</v>
      </c>
      <c r="H487" s="350">
        <v>16.0</v>
      </c>
    </row>
    <row r="488" hidden="1">
      <c r="A488" s="272">
        <v>216.0</v>
      </c>
      <c r="B488" s="272">
        <v>216.0</v>
      </c>
      <c r="C488" s="348">
        <v>486.0</v>
      </c>
      <c r="D488" s="273" t="str">
        <f>IFERROR(__xludf.DUMMYFUNCTION("if(B488&lt;=999,if(B488&lt;=99,IF(B488&lt;=9,join(,""000"",B488),join(,""00"",B488)),join(,""0"",B488)),B488)"),"0216")</f>
        <v>0216</v>
      </c>
      <c r="E488" s="274" t="s">
        <v>1112</v>
      </c>
      <c r="F488" s="263" t="str">
        <f>vlookup(B488,'Geotagging Master All-Training '!$A$2:$C$2474,2,false)</f>
        <v>#N/A</v>
      </c>
      <c r="G488" s="351" t="s">
        <v>20</v>
      </c>
      <c r="H488" s="352">
        <v>24.0</v>
      </c>
    </row>
    <row r="489" hidden="1">
      <c r="A489" s="258">
        <v>1058.0</v>
      </c>
      <c r="B489" s="259">
        <v>1058.0</v>
      </c>
      <c r="C489" s="348">
        <v>487.0</v>
      </c>
      <c r="D489" s="260">
        <f>IFERROR(__xludf.DUMMYFUNCTION("if(B489&lt;=999,if(B489&lt;=99,IF(B489&lt;=9,join(,""000"",B489),join(,""00"",B489)),join(,""0"",B489)),B489)"),1058.0)</f>
        <v>1058</v>
      </c>
      <c r="E489" s="262" t="s">
        <v>1113</v>
      </c>
      <c r="F489" s="263" t="str">
        <f>vlookup(B489,'Geotagging Master All-Training '!$A$2:$C$2474,2,false)</f>
        <v>#N/A</v>
      </c>
      <c r="G489" s="349" t="s">
        <v>20</v>
      </c>
      <c r="H489" s="350" t="e">
        <v>#N/A</v>
      </c>
    </row>
    <row r="490" hidden="1">
      <c r="A490" s="258">
        <v>805.0</v>
      </c>
      <c r="B490" s="258">
        <v>805.0</v>
      </c>
      <c r="C490" s="348">
        <v>488.0</v>
      </c>
      <c r="D490" s="260" t="str">
        <f>IFERROR(__xludf.DUMMYFUNCTION("if(B490&lt;=999,if(B490&lt;=99,IF(B490&lt;=9,join(,""000"",B490),join(,""00"",B490)),join(,""0"",B490)),B490)"),"0805")</f>
        <v>0805</v>
      </c>
      <c r="E490" s="262" t="s">
        <v>1114</v>
      </c>
      <c r="F490" s="263" t="str">
        <f>vlookup(B490,'Geotagging Master All-Training '!$A$2:$C$2474,2,false)</f>
        <v>#N/A</v>
      </c>
      <c r="G490" s="349" t="s">
        <v>20</v>
      </c>
      <c r="H490" s="350">
        <v>80.0</v>
      </c>
    </row>
    <row r="491" hidden="1">
      <c r="A491" s="258">
        <v>1033.0</v>
      </c>
      <c r="B491" s="259">
        <v>1033.0</v>
      </c>
      <c r="C491" s="348">
        <v>489.0</v>
      </c>
      <c r="D491" s="260">
        <f>IFERROR(__xludf.DUMMYFUNCTION("if(B491&lt;=999,if(B491&lt;=99,IF(B491&lt;=9,join(,""000"",B491),join(,""00"",B491)),join(,""0"",B491)),B491)"),1033.0)</f>
        <v>1033</v>
      </c>
      <c r="E491" s="270" t="s">
        <v>1115</v>
      </c>
      <c r="F491" s="263" t="str">
        <f>vlookup(B491,'Geotagging Master All-Training '!$A$2:$C$2474,2,false)</f>
        <v>#N/A</v>
      </c>
      <c r="G491" s="349" t="s">
        <v>20</v>
      </c>
      <c r="H491" s="350">
        <v>1500.0</v>
      </c>
    </row>
    <row r="492" hidden="1">
      <c r="A492" s="258">
        <v>949.0</v>
      </c>
      <c r="B492" s="258">
        <v>949.0</v>
      </c>
      <c r="C492" s="348">
        <v>490.0</v>
      </c>
      <c r="D492" s="260" t="str">
        <f>IFERROR(__xludf.DUMMYFUNCTION("if(B492&lt;=999,if(B492&lt;=99,IF(B492&lt;=9,join(,""000"",B492),join(,""00"",B492)),join(,""0"",B492)),B492)"),"0949")</f>
        <v>0949</v>
      </c>
      <c r="E492" s="270" t="s">
        <v>1117</v>
      </c>
      <c r="F492" s="263" t="str">
        <f>vlookup(B492,'Geotagging Master All-Training '!$A$2:$C$2474,2,false)</f>
        <v>#N/A</v>
      </c>
      <c r="G492" s="349" t="s">
        <v>20</v>
      </c>
      <c r="H492" s="350">
        <v>4.0</v>
      </c>
    </row>
    <row r="493" hidden="1">
      <c r="A493" s="258">
        <v>253.0</v>
      </c>
      <c r="B493" s="258">
        <v>253.0</v>
      </c>
      <c r="C493" s="348">
        <v>491.0</v>
      </c>
      <c r="D493" s="260" t="str">
        <f>IFERROR(__xludf.DUMMYFUNCTION("if(B493&lt;=999,if(B493&lt;=99,IF(B493&lt;=9,join(,""000"",B493),join(,""00"",B493)),join(,""0"",B493)),B493)"),"0253")</f>
        <v>0253</v>
      </c>
      <c r="E493" s="270" t="s">
        <v>1183</v>
      </c>
      <c r="F493" s="263" t="str">
        <f>vlookup(B493,'Geotagging Master All-Training '!$A$2:$C$2474,2,false)</f>
        <v>#N/A</v>
      </c>
      <c r="G493" s="349" t="s">
        <v>20</v>
      </c>
      <c r="H493" s="350"/>
    </row>
    <row r="494" hidden="1">
      <c r="A494" s="272">
        <v>1079.0</v>
      </c>
      <c r="B494" s="272">
        <v>1079.0</v>
      </c>
      <c r="C494" s="348">
        <v>492.0</v>
      </c>
      <c r="D494" s="273">
        <f>IFERROR(__xludf.DUMMYFUNCTION("if(B494&lt;=999,if(B494&lt;=99,IF(B494&lt;=9,join(,""000"",B494),join(,""00"",B494)),join(,""0"",B494)),B494)"),1079.0)</f>
        <v>1079</v>
      </c>
      <c r="E494" s="304" t="s">
        <v>1120</v>
      </c>
      <c r="F494" s="263" t="str">
        <f>vlookup(B494,'Geotagging Master All-Training '!$A$2:$C$2474,2,false)</f>
        <v>#N/A</v>
      </c>
      <c r="G494" s="351" t="s">
        <v>20</v>
      </c>
      <c r="H494" s="352" t="s">
        <v>484</v>
      </c>
    </row>
    <row r="495" hidden="1">
      <c r="A495" s="272">
        <v>1126.0</v>
      </c>
      <c r="B495" s="272">
        <v>1126.0</v>
      </c>
      <c r="C495" s="348">
        <v>493.0</v>
      </c>
      <c r="D495" s="273">
        <f>IFERROR(__xludf.DUMMYFUNCTION("if(B495&lt;=999,if(B495&lt;=99,IF(B495&lt;=9,join(,""000"",B495),join(,""00"",B495)),join(,""0"",B495)),B495)"),1126.0)</f>
        <v>1126</v>
      </c>
      <c r="E495" s="304" t="s">
        <v>1123</v>
      </c>
      <c r="F495" s="263" t="str">
        <f>vlookup(B495,'Geotagging Master All-Training '!$A$2:$C$2474,2,false)</f>
        <v>#N/A</v>
      </c>
      <c r="G495" s="351" t="s">
        <v>20</v>
      </c>
      <c r="H495" s="352" t="s">
        <v>1124</v>
      </c>
    </row>
    <row r="496" hidden="1">
      <c r="A496" s="258">
        <v>23.0</v>
      </c>
      <c r="B496" s="258">
        <v>23.0</v>
      </c>
      <c r="C496" s="348">
        <v>494.0</v>
      </c>
      <c r="D496" s="260" t="str">
        <f>IFERROR(__xludf.DUMMYFUNCTION("if(B496&lt;=999,if(B496&lt;=99,IF(B496&lt;=9,join(,""000"",B496),join(,""00"",B496)),join(,""0"",B496)),B496)"),"0023")</f>
        <v>0023</v>
      </c>
      <c r="E496" s="262" t="s">
        <v>1125</v>
      </c>
      <c r="F496" s="263" t="str">
        <f>vlookup(B496,'Geotagging Master All-Training '!$A$2:$C$2474,2,false)</f>
        <v>#N/A</v>
      </c>
      <c r="G496" s="349" t="s">
        <v>20</v>
      </c>
      <c r="H496" s="350" t="s">
        <v>1126</v>
      </c>
    </row>
    <row r="497" hidden="1">
      <c r="A497" s="272">
        <v>1028.0</v>
      </c>
      <c r="B497" s="272">
        <v>1028.0</v>
      </c>
      <c r="C497" s="353">
        <v>520.0</v>
      </c>
      <c r="D497" s="273">
        <f>IFERROR(__xludf.DUMMYFUNCTION("if(B497&lt;=999,if(B497&lt;=99,IF(B497&lt;=9,join(,""000"",B497),join(,""00"",B497)),join(,""0"",B497)),B497)"),1028.0)</f>
        <v>1028</v>
      </c>
      <c r="E497" s="304" t="s">
        <v>1174</v>
      </c>
      <c r="F497" s="303" t="str">
        <f>vlookup(B497,'Geotagging Master All-Training '!$A$2:$C$2474,2,false)</f>
        <v>#N/A</v>
      </c>
      <c r="G497" s="351" t="s">
        <v>20</v>
      </c>
      <c r="H497" s="352">
        <v>36666.0</v>
      </c>
    </row>
    <row r="498" hidden="1">
      <c r="A498" s="258">
        <v>359.0</v>
      </c>
      <c r="B498" s="258">
        <v>359.0</v>
      </c>
      <c r="C498" s="348">
        <v>496.0</v>
      </c>
      <c r="D498" s="260" t="str">
        <f>IFERROR(__xludf.DUMMYFUNCTION("if(B498&lt;=999,if(B498&lt;=99,IF(B498&lt;=9,join(,""000"",B498),join(,""00"",B498)),join(,""0"",B498)),B498)"),"0359")</f>
        <v>0359</v>
      </c>
      <c r="E498" s="270" t="s">
        <v>1128</v>
      </c>
      <c r="F498" s="263" t="str">
        <f>vlookup(B498,'Geotagging Master All-Training '!$A$2:$C$2474,2,false)</f>
        <v>#N/A</v>
      </c>
      <c r="G498" s="349" t="s">
        <v>20</v>
      </c>
      <c r="H498" s="350"/>
    </row>
    <row r="499" hidden="1">
      <c r="A499" s="258">
        <v>1083.0</v>
      </c>
      <c r="B499" s="259">
        <v>1083.0</v>
      </c>
      <c r="C499" s="348">
        <v>497.0</v>
      </c>
      <c r="D499" s="260">
        <f>IFERROR(__xludf.DUMMYFUNCTION("if(B499&lt;=999,if(B499&lt;=99,IF(B499&lt;=9,join(,""000"",B499),join(,""00"",B499)),join(,""0"",B499)),B499)"),1083.0)</f>
        <v>1083</v>
      </c>
      <c r="E499" s="262" t="s">
        <v>1129</v>
      </c>
      <c r="F499" s="263" t="str">
        <f>vlookup(B499,'Geotagging Master All-Training '!$A$2:$C$2474,2,false)</f>
        <v>#N/A</v>
      </c>
      <c r="G499" s="349" t="s">
        <v>20</v>
      </c>
      <c r="H499" s="350"/>
    </row>
    <row r="500" hidden="1">
      <c r="A500" s="258">
        <v>520.0</v>
      </c>
      <c r="B500" s="258">
        <v>520.0</v>
      </c>
      <c r="C500" s="348">
        <v>498.0</v>
      </c>
      <c r="D500" s="260" t="str">
        <f>IFERROR(__xludf.DUMMYFUNCTION("if(B500&lt;=999,if(B500&lt;=99,IF(B500&lt;=9,join(,""000"",B500),join(,""00"",B500)),join(,""0"",B500)),B500)"),"0520")</f>
        <v>0520</v>
      </c>
      <c r="E500" s="270" t="s">
        <v>1130</v>
      </c>
      <c r="F500" s="263" t="str">
        <f>vlookup(B500,'Geotagging Master All-Training '!$A$2:$C$2474,2,false)</f>
        <v>#N/A</v>
      </c>
      <c r="G500" s="349" t="s">
        <v>20</v>
      </c>
      <c r="H500" s="350">
        <v>25001.0</v>
      </c>
    </row>
    <row r="501" hidden="1">
      <c r="A501" s="258">
        <v>4.0</v>
      </c>
      <c r="B501" s="258">
        <v>4.0</v>
      </c>
      <c r="C501" s="348">
        <v>499.0</v>
      </c>
      <c r="D501" s="260" t="str">
        <f>IFERROR(__xludf.DUMMYFUNCTION("if(B501&lt;=999,if(B501&lt;=99,IF(B501&lt;=9,join(,""000"",B501),join(,""00"",B501)),join(,""0"",B501)),B501)"),"0004")</f>
        <v>0004</v>
      </c>
      <c r="E501" s="270" t="s">
        <v>1131</v>
      </c>
      <c r="F501" s="263" t="str">
        <f>vlookup(B501,'Geotagging Master All-Training '!$A$2:$C$2474,2,false)</f>
        <v>#N/A</v>
      </c>
      <c r="G501" s="349" t="s">
        <v>35</v>
      </c>
      <c r="H501" s="350">
        <v>4.0</v>
      </c>
    </row>
    <row r="502" hidden="1">
      <c r="A502" s="258">
        <v>684.0</v>
      </c>
      <c r="B502" s="258">
        <v>684.0</v>
      </c>
      <c r="C502" s="348">
        <v>500.0</v>
      </c>
      <c r="D502" s="260" t="str">
        <f>IFERROR(__xludf.DUMMYFUNCTION("if(B502&lt;=999,if(B502&lt;=99,IF(B502&lt;=9,join(,""000"",B502),join(,""00"",B502)),join(,""0"",B502)),B502)"),"0684")</f>
        <v>0684</v>
      </c>
      <c r="E502" s="270" t="s">
        <v>1133</v>
      </c>
      <c r="F502" s="263" t="str">
        <f>vlookup(B502,'Geotagging Master All-Training '!$A$2:$C$2474,2,false)</f>
        <v>#N/A</v>
      </c>
      <c r="G502" s="349" t="s">
        <v>20</v>
      </c>
      <c r="H502" s="350">
        <v>25001.0</v>
      </c>
    </row>
    <row r="503" hidden="1">
      <c r="A503" s="258">
        <v>1415.0</v>
      </c>
      <c r="B503" s="258">
        <v>1415.0</v>
      </c>
      <c r="C503" s="348">
        <v>501.0</v>
      </c>
      <c r="D503" s="260">
        <f>IFERROR(__xludf.DUMMYFUNCTION("if(B503&lt;=999,if(B503&lt;=99,IF(B503&lt;=9,join(,""000"",B503),join(,""00"",B503)),join(,""0"",B503)),B503)"),1415.0)</f>
        <v>1415</v>
      </c>
      <c r="E503" s="270" t="s">
        <v>1135</v>
      </c>
      <c r="F503" s="263" t="str">
        <f>vlookup(B503,'Geotagging Master All-Training '!$A$2:$C$2474,2,false)</f>
        <v>#N/A</v>
      </c>
      <c r="G503" s="349" t="s">
        <v>20</v>
      </c>
      <c r="H503" s="350"/>
    </row>
    <row r="504" hidden="1">
      <c r="A504" s="258">
        <v>1390.0</v>
      </c>
      <c r="B504" s="258">
        <v>1390.0</v>
      </c>
      <c r="C504" s="348">
        <v>502.0</v>
      </c>
      <c r="D504" s="260">
        <f>IFERROR(__xludf.DUMMYFUNCTION("if(B504&lt;=999,if(B504&lt;=99,IF(B504&lt;=9,join(,""000"",B504),join(,""00"",B504)),join(,""0"",B504)),B504)"),1390.0)</f>
        <v>1390</v>
      </c>
      <c r="E504" s="270" t="s">
        <v>1139</v>
      </c>
      <c r="F504" s="263" t="str">
        <f>vlookup(B504,'Geotagging Master All-Training '!$A$2:$C$2474,2,false)</f>
        <v>#N/A</v>
      </c>
      <c r="G504" s="349" t="s">
        <v>20</v>
      </c>
      <c r="H504" s="350">
        <v>37777.0</v>
      </c>
    </row>
    <row r="505" hidden="1">
      <c r="A505" s="258">
        <v>489.0</v>
      </c>
      <c r="B505" s="259">
        <v>489.0</v>
      </c>
      <c r="C505" s="348">
        <v>503.0</v>
      </c>
      <c r="D505" s="260" t="str">
        <f>IFERROR(__xludf.DUMMYFUNCTION("if(B505&lt;=999,if(B505&lt;=99,IF(B505&lt;=9,join(,""000"",B505),join(,""00"",B505)),join(,""0"",B505)),B505)"),"0489")</f>
        <v>0489</v>
      </c>
      <c r="E505" s="270" t="s">
        <v>1142</v>
      </c>
      <c r="F505" s="263" t="str">
        <f>vlookup(B505,'Geotagging Master All-Training '!$A$2:$C$2474,2,false)</f>
        <v>#N/A</v>
      </c>
      <c r="G505" s="349" t="s">
        <v>20</v>
      </c>
      <c r="H505" s="350"/>
    </row>
    <row r="506" hidden="1">
      <c r="A506" s="258">
        <v>68.0</v>
      </c>
      <c r="B506" s="258">
        <v>68.0</v>
      </c>
      <c r="C506" s="348">
        <v>504.0</v>
      </c>
      <c r="D506" s="260" t="str">
        <f>IFERROR(__xludf.DUMMYFUNCTION("if(B506&lt;=999,if(B506&lt;=99,IF(B506&lt;=9,join(,""000"",B506),join(,""00"",B506)),join(,""0"",B506)),B506)"),"0068")</f>
        <v>0068</v>
      </c>
      <c r="E506" s="270" t="s">
        <v>1143</v>
      </c>
      <c r="F506" s="263" t="str">
        <f>vlookup(B506,'Geotagging Master All-Training '!$A$2:$C$2474,2,false)</f>
        <v>#N/A</v>
      </c>
      <c r="G506" s="349" t="s">
        <v>20</v>
      </c>
      <c r="H506" s="350"/>
    </row>
    <row r="507" hidden="1">
      <c r="A507" s="258">
        <v>804.0</v>
      </c>
      <c r="B507" s="259">
        <v>804.0</v>
      </c>
      <c r="C507" s="348">
        <v>505.0</v>
      </c>
      <c r="D507" s="260" t="str">
        <f>IFERROR(__xludf.DUMMYFUNCTION("if(B507&lt;=999,if(B507&lt;=99,IF(B507&lt;=9,join(,""000"",B507),join(,""00"",B507)),join(,""0"",B507)),B507)"),"0804")</f>
        <v>0804</v>
      </c>
      <c r="E507" s="262" t="s">
        <v>1145</v>
      </c>
      <c r="F507" s="263" t="str">
        <f>vlookup(B507,'Geotagging Master All-Training '!$A$2:$C$2474,2,false)</f>
        <v>#N/A</v>
      </c>
      <c r="G507" s="349" t="s">
        <v>20</v>
      </c>
      <c r="H507" s="350" t="e">
        <v>#N/A</v>
      </c>
    </row>
    <row r="508" hidden="1">
      <c r="A508" s="258">
        <v>679.0</v>
      </c>
      <c r="B508" s="258">
        <v>679.0</v>
      </c>
      <c r="C508" s="348">
        <v>506.0</v>
      </c>
      <c r="D508" s="260" t="str">
        <f>IFERROR(__xludf.DUMMYFUNCTION("if(B508&lt;=999,if(B508&lt;=99,IF(B508&lt;=9,join(,""000"",B508),join(,""00"",B508)),join(,""0"",B508)),B508)"),"0679")</f>
        <v>0679</v>
      </c>
      <c r="E508" s="262" t="s">
        <v>1147</v>
      </c>
      <c r="F508" s="263" t="str">
        <f>vlookup(B508,'Geotagging Master All-Training '!$A$2:$C$2474,2,false)</f>
        <v>#N/A</v>
      </c>
      <c r="G508" s="349" t="s">
        <v>20</v>
      </c>
      <c r="H508" s="350"/>
    </row>
    <row r="509" hidden="1">
      <c r="A509" s="258">
        <v>621.0</v>
      </c>
      <c r="B509" s="258">
        <v>621.0</v>
      </c>
      <c r="C509" s="348">
        <v>507.0</v>
      </c>
      <c r="D509" s="260" t="str">
        <f>IFERROR(__xludf.DUMMYFUNCTION("if(B509&lt;=999,if(B509&lt;=99,IF(B509&lt;=9,join(,""000"",B509),join(,""00"",B509)),join(,""0"",B509)),B509)"),"0621")</f>
        <v>0621</v>
      </c>
      <c r="E509" s="262" t="s">
        <v>1150</v>
      </c>
      <c r="F509" s="263" t="str">
        <f>vlookup(B509,'Geotagging Master All-Training '!$A$2:$C$2474,2,false)</f>
        <v>#N/A</v>
      </c>
      <c r="G509" s="349" t="s">
        <v>20</v>
      </c>
      <c r="H509" s="350">
        <v>16.0</v>
      </c>
    </row>
    <row r="510" hidden="1">
      <c r="A510" s="272">
        <v>947.0</v>
      </c>
      <c r="B510" s="272">
        <v>947.0</v>
      </c>
      <c r="C510" s="348">
        <v>508.0</v>
      </c>
      <c r="D510" s="273" t="str">
        <f>IFERROR(__xludf.DUMMYFUNCTION("if(B510&lt;=999,if(B510&lt;=99,IF(B510&lt;=9,join(,""000"",B510),join(,""00"",B510)),join(,""0"",B510)),B510)"),"0947")</f>
        <v>0947</v>
      </c>
      <c r="E510" s="304" t="s">
        <v>1152</v>
      </c>
      <c r="F510" s="263" t="str">
        <f>vlookup(B510,'Geotagging Master All-Training '!$A$2:$C$2474,2,false)</f>
        <v>#N/A</v>
      </c>
      <c r="G510" s="351" t="s">
        <v>20</v>
      </c>
      <c r="H510" s="352"/>
    </row>
    <row r="511" hidden="1">
      <c r="A511" s="258">
        <v>1132.0</v>
      </c>
      <c r="B511" s="258">
        <v>1132.0</v>
      </c>
      <c r="C511" s="348">
        <v>509.0</v>
      </c>
      <c r="D511" s="260">
        <f>IFERROR(__xludf.DUMMYFUNCTION("if(B511&lt;=999,if(B511&lt;=99,IF(B511&lt;=9,join(,""000"",B511),join(,""00"",B511)),join(,""0"",B511)),B511)"),1132.0)</f>
        <v>1132</v>
      </c>
      <c r="E511" s="270" t="s">
        <v>1210</v>
      </c>
      <c r="F511" s="263" t="str">
        <f>vlookup(B511,'Geotagging Master All-Training '!$A$2:$C$2474,2,false)</f>
        <v>#N/A</v>
      </c>
      <c r="G511" s="349" t="s">
        <v>20</v>
      </c>
      <c r="H511" s="350" t="e">
        <v>#N/A</v>
      </c>
    </row>
    <row r="512" hidden="1">
      <c r="A512" s="258">
        <v>948.0</v>
      </c>
      <c r="B512" s="258">
        <v>948.0</v>
      </c>
      <c r="C512" s="348">
        <v>510.0</v>
      </c>
      <c r="D512" s="260" t="str">
        <f>IFERROR(__xludf.DUMMYFUNCTION("if(B512&lt;=999,if(B512&lt;=99,IF(B512&lt;=9,join(,""000"",B512),join(,""00"",B512)),join(,""0"",B512)),B512)"),"0948")</f>
        <v>0948</v>
      </c>
      <c r="E512" s="270" t="s">
        <v>1288</v>
      </c>
      <c r="F512" s="263" t="str">
        <f>vlookup(B512,'Geotagging Master All-Training '!$A$2:$C$2474,2,false)</f>
        <v>#N/A</v>
      </c>
      <c r="G512" s="349" t="s">
        <v>20</v>
      </c>
      <c r="H512" s="350"/>
    </row>
    <row r="513" hidden="1">
      <c r="A513" s="258">
        <v>977.0</v>
      </c>
      <c r="B513" s="258">
        <v>977.0</v>
      </c>
      <c r="C513" s="348">
        <v>511.0</v>
      </c>
      <c r="D513" s="260" t="str">
        <f>IFERROR(__xludf.DUMMYFUNCTION("if(B513&lt;=999,if(B513&lt;=99,IF(B513&lt;=9,join(,""000"",B513),join(,""00"",B513)),join(,""0"",B513)),B513)"),"0977")</f>
        <v>0977</v>
      </c>
      <c r="E513" s="262" t="s">
        <v>1159</v>
      </c>
      <c r="F513" s="263" t="str">
        <f>vlookup(B513,'Geotagging Master All-Training '!$A$2:$C$2474,2,false)</f>
        <v>#N/A</v>
      </c>
      <c r="G513" s="349" t="s">
        <v>20</v>
      </c>
      <c r="H513" s="350">
        <v>80.0</v>
      </c>
    </row>
    <row r="514" hidden="1">
      <c r="A514" s="258">
        <v>1464.0</v>
      </c>
      <c r="B514" s="258">
        <v>1464.0</v>
      </c>
      <c r="C514" s="348">
        <v>512.0</v>
      </c>
      <c r="D514" s="260">
        <f>IFERROR(__xludf.DUMMYFUNCTION("if(B514&lt;=999,if(B514&lt;=99,IF(B514&lt;=9,join(,""000"",B514),join(,""00"",B514)),join(,""0"",B514)),B514)"),1464.0)</f>
        <v>1464</v>
      </c>
      <c r="E514" s="270" t="s">
        <v>150</v>
      </c>
      <c r="F514" s="263" t="str">
        <f>vlookup(B514,'Geotagging Master All-Training '!$A$2:$C$2474,2,false)</f>
        <v>#N/A</v>
      </c>
      <c r="G514" s="349" t="s">
        <v>20</v>
      </c>
      <c r="H514" s="350"/>
    </row>
    <row r="515" hidden="1">
      <c r="A515" s="258">
        <v>641.0</v>
      </c>
      <c r="B515" s="258">
        <v>641.0</v>
      </c>
      <c r="C515" s="348">
        <v>513.0</v>
      </c>
      <c r="D515" s="260" t="str">
        <f>IFERROR(__xludf.DUMMYFUNCTION("if(B515&lt;=999,if(B515&lt;=99,IF(B515&lt;=9,join(,""000"",B515),join(,""00"",B515)),join(,""0"",B515)),B515)"),"0641")</f>
        <v>0641</v>
      </c>
      <c r="E515" s="270" t="s">
        <v>1161</v>
      </c>
      <c r="F515" s="263" t="str">
        <f>vlookup(B515,'Geotagging Master All-Training '!$A$2:$C$2474,2,false)</f>
        <v>#N/A</v>
      </c>
      <c r="G515" s="349" t="s">
        <v>20</v>
      </c>
      <c r="H515" s="350"/>
    </row>
    <row r="516" hidden="1">
      <c r="A516" s="258">
        <v>1077.0</v>
      </c>
      <c r="B516" s="258">
        <v>1077.0</v>
      </c>
      <c r="C516" s="348">
        <v>514.0</v>
      </c>
      <c r="D516" s="260">
        <f>IFERROR(__xludf.DUMMYFUNCTION("if(B516&lt;=999,if(B516&lt;=99,IF(B516&lt;=9,join(,""000"",B516),join(,""00"",B516)),join(,""0"",B516)),B516)"),1077.0)</f>
        <v>1077</v>
      </c>
      <c r="E516" s="270" t="s">
        <v>1276</v>
      </c>
      <c r="F516" s="263" t="str">
        <f>vlookup(B516,'Geotagging Master All-Training '!$A$2:$C$2474,2,false)</f>
        <v>#N/A</v>
      </c>
      <c r="G516" s="362" t="s">
        <v>20</v>
      </c>
      <c r="H516" s="323"/>
    </row>
    <row r="517" hidden="1">
      <c r="A517" s="258">
        <v>638.0</v>
      </c>
      <c r="B517" s="258">
        <v>638.0</v>
      </c>
      <c r="C517" s="348">
        <v>515.0</v>
      </c>
      <c r="D517" s="260" t="str">
        <f>IFERROR(__xludf.DUMMYFUNCTION("if(B517&lt;=999,if(B517&lt;=99,IF(B517&lt;=9,join(,""000"",B517),join(,""00"",B517)),join(,""0"",B517)),B517)"),"0638")</f>
        <v>0638</v>
      </c>
      <c r="E517" s="270" t="s">
        <v>1165</v>
      </c>
      <c r="F517" s="263" t="str">
        <f>vlookup(B517,'Geotagging Master All-Training '!$A$2:$C$2474,2,false)</f>
        <v>#N/A</v>
      </c>
      <c r="G517" s="349" t="s">
        <v>20</v>
      </c>
      <c r="H517" s="350">
        <v>250001.0</v>
      </c>
    </row>
    <row r="518" hidden="1">
      <c r="A518" s="258">
        <v>1247.0</v>
      </c>
      <c r="B518" s="259">
        <v>1247.0</v>
      </c>
      <c r="C518" s="348">
        <v>516.0</v>
      </c>
      <c r="D518" s="260">
        <f>IFERROR(__xludf.DUMMYFUNCTION("if(B518&lt;=999,if(B518&lt;=99,IF(B518&lt;=9,join(,""000"",B518),join(,""00"",B518)),join(,""0"",B518)),B518)"),1247.0)</f>
        <v>1247</v>
      </c>
      <c r="E518" s="270" t="s">
        <v>1168</v>
      </c>
      <c r="F518" s="263" t="str">
        <f>vlookup(B518,'Geotagging Master All-Training '!$A$2:$C$2474,2,false)</f>
        <v>#N/A</v>
      </c>
      <c r="G518" s="349" t="s">
        <v>20</v>
      </c>
      <c r="H518" s="350" t="s">
        <v>453</v>
      </c>
    </row>
    <row r="519" hidden="1">
      <c r="A519" s="258">
        <v>1449.0</v>
      </c>
      <c r="B519" s="258">
        <v>1449.0</v>
      </c>
      <c r="C519" s="348">
        <v>517.0</v>
      </c>
      <c r="D519" s="260">
        <f>IFERROR(__xludf.DUMMYFUNCTION("if(B519&lt;=999,if(B519&lt;=99,IF(B519&lt;=9,join(,""000"",B519),join(,""00"",B519)),join(,""0"",B519)),B519)"),1449.0)</f>
        <v>1449</v>
      </c>
      <c r="E519" s="270" t="s">
        <v>1156</v>
      </c>
      <c r="F519" s="263" t="str">
        <f>vlookup(B519,'Geotagging Master All-Training '!$A$2:$C$2474,2,false)</f>
        <v>#N/A</v>
      </c>
      <c r="G519" s="349" t="s">
        <v>20</v>
      </c>
      <c r="H519" s="350"/>
    </row>
    <row r="520" hidden="1">
      <c r="A520" s="272">
        <v>1035.0</v>
      </c>
      <c r="B520" s="272">
        <v>1035.0</v>
      </c>
      <c r="C520" s="348">
        <v>518.0</v>
      </c>
      <c r="D520" s="273">
        <f>IFERROR(__xludf.DUMMYFUNCTION("if(B520&lt;=999,if(B520&lt;=99,IF(B520&lt;=9,join(,""000"",B520),join(,""00"",B520)),join(,""0"",B520)),B520)"),1035.0)</f>
        <v>1035</v>
      </c>
      <c r="E520" s="274" t="s">
        <v>1170</v>
      </c>
      <c r="F520" s="263" t="str">
        <f>vlookup(B520,'Geotagging Master All-Training '!$A$2:$C$2474,2,false)</f>
        <v>#N/A</v>
      </c>
      <c r="G520" s="351" t="s">
        <v>20</v>
      </c>
      <c r="H520" s="352">
        <v>25001.0</v>
      </c>
    </row>
    <row r="521" hidden="1">
      <c r="A521" s="258">
        <v>226.0</v>
      </c>
      <c r="B521" s="258">
        <v>226.0</v>
      </c>
      <c r="C521" s="348">
        <v>519.0</v>
      </c>
      <c r="D521" s="260" t="str">
        <f>IFERROR(__xludf.DUMMYFUNCTION("if(B521&lt;=999,if(B521&lt;=99,IF(B521&lt;=9,join(,""000"",B521),join(,""00"",B521)),join(,""0"",B521)),B521)"),"0226")</f>
        <v>0226</v>
      </c>
      <c r="E521" s="270" t="s">
        <v>1173</v>
      </c>
      <c r="F521" s="263" t="str">
        <f>vlookup(B521,'Geotagging Master All-Training '!$A$2:$C$2474,2,false)</f>
        <v>#N/A</v>
      </c>
      <c r="G521" s="349" t="s">
        <v>20</v>
      </c>
      <c r="H521" s="350">
        <v>250001.0</v>
      </c>
    </row>
    <row r="522">
      <c r="A522" s="272">
        <v>342.0</v>
      </c>
      <c r="B522" s="272">
        <v>342.0</v>
      </c>
      <c r="C522" s="353">
        <v>28.0</v>
      </c>
      <c r="D522" s="273" t="s">
        <v>1387</v>
      </c>
      <c r="E522" s="304" t="s">
        <v>1175</v>
      </c>
      <c r="F522" s="303" t="s">
        <v>1362</v>
      </c>
      <c r="G522" s="351" t="s">
        <v>35</v>
      </c>
      <c r="H522" s="352" t="e">
        <v>#N/A</v>
      </c>
    </row>
    <row r="523">
      <c r="A523" s="272">
        <v>536.0</v>
      </c>
      <c r="B523" s="272">
        <v>536.0</v>
      </c>
      <c r="C523" s="353">
        <v>29.0</v>
      </c>
      <c r="D523" s="273" t="s">
        <v>1388</v>
      </c>
      <c r="E523" s="304" t="s">
        <v>1180</v>
      </c>
      <c r="F523" s="303" t="s">
        <v>1362</v>
      </c>
      <c r="G523" s="351" t="s">
        <v>35</v>
      </c>
      <c r="H523" s="352" t="e">
        <v>#N/A</v>
      </c>
    </row>
    <row r="524" hidden="1">
      <c r="A524" s="258">
        <v>1228.0</v>
      </c>
      <c r="B524" s="258">
        <v>1228.0</v>
      </c>
      <c r="C524" s="348">
        <v>522.0</v>
      </c>
      <c r="D524" s="260">
        <f>IFERROR(__xludf.DUMMYFUNCTION("if(B524&lt;=999,if(B524&lt;=99,IF(B524&lt;=9,join(,""000"",B524),join(,""00"",B524)),join(,""0"",B524)),B524)"),1228.0)</f>
        <v>1228</v>
      </c>
      <c r="E524" s="270" t="s">
        <v>1176</v>
      </c>
      <c r="F524" s="263" t="str">
        <f>vlookup(B524,'Geotagging Master All-Training '!$A$2:$C$2474,2,false)</f>
        <v>#N/A</v>
      </c>
      <c r="G524" s="349" t="s">
        <v>20</v>
      </c>
      <c r="H524" s="350" t="e">
        <v>#N/A</v>
      </c>
    </row>
    <row r="525" hidden="1">
      <c r="A525" s="258">
        <v>685.0</v>
      </c>
      <c r="B525" s="258">
        <v>685.0</v>
      </c>
      <c r="C525" s="348">
        <v>523.0</v>
      </c>
      <c r="D525" s="260" t="str">
        <f>IFERROR(__xludf.DUMMYFUNCTION("if(B525&lt;=999,if(B525&lt;=99,IF(B525&lt;=9,join(,""000"",B525),join(,""00"",B525)),join(,""0"",B525)),B525)"),"0685")</f>
        <v>0685</v>
      </c>
      <c r="E525" s="270" t="s">
        <v>681</v>
      </c>
      <c r="F525" s="263" t="str">
        <f>vlookup(B525,'Geotagging Master All-Training '!$A$2:$C$2474,2,false)</f>
        <v>#N/A</v>
      </c>
      <c r="G525" s="349" t="s">
        <v>35</v>
      </c>
      <c r="H525" s="350"/>
    </row>
    <row r="526" hidden="1">
      <c r="A526" s="272">
        <v>1337.0</v>
      </c>
      <c r="B526" s="272">
        <v>1337.0</v>
      </c>
      <c r="C526" s="353">
        <v>525.0</v>
      </c>
      <c r="D526" s="273">
        <f>IFERROR(__xludf.DUMMYFUNCTION("if(B526&lt;=999,if(B526&lt;=99,IF(B526&lt;=9,join(,""000"",B526),join(,""00"",B526)),join(,""0"",B526)),B526)"),1337.0)</f>
        <v>1337</v>
      </c>
      <c r="E526" s="304" t="s">
        <v>349</v>
      </c>
      <c r="F526" s="303" t="str">
        <f>vlookup(B526,'Geotagging Master All-Training '!$A$2:$C$2474,2,false)</f>
        <v>#N/A</v>
      </c>
      <c r="G526" s="351" t="s">
        <v>20</v>
      </c>
      <c r="H526" s="352">
        <v>25001.0</v>
      </c>
    </row>
    <row r="527">
      <c r="A527" s="272">
        <v>1246.0</v>
      </c>
      <c r="B527" s="272">
        <v>1246.0</v>
      </c>
      <c r="C527" s="353">
        <v>30.0</v>
      </c>
      <c r="D527" s="273">
        <v>1246.0</v>
      </c>
      <c r="E527" s="304" t="s">
        <v>1184</v>
      </c>
      <c r="F527" s="303" t="s">
        <v>1362</v>
      </c>
      <c r="G527" s="351" t="s">
        <v>35</v>
      </c>
      <c r="H527" s="352" t="e">
        <v>#N/A</v>
      </c>
    </row>
    <row r="528" hidden="1">
      <c r="A528" s="258">
        <v>1441.0</v>
      </c>
      <c r="B528" s="259">
        <v>1441.0</v>
      </c>
      <c r="C528" s="348">
        <v>526.0</v>
      </c>
      <c r="D528" s="260">
        <f>IFERROR(__xludf.DUMMYFUNCTION("if(B528&lt;=999,if(B528&lt;=99,IF(B528&lt;=9,join(,""000"",B528),join(,""00"",B528)),join(,""0"",B528)),B528)"),1441.0)</f>
        <v>1441</v>
      </c>
      <c r="E528" s="270" t="s">
        <v>757</v>
      </c>
      <c r="F528" s="263" t="str">
        <f>vlookup(B528,'Geotagging Master All-Training '!$A$2:$C$2474,2,false)</f>
        <v>#N/A</v>
      </c>
      <c r="G528" s="349" t="s">
        <v>20</v>
      </c>
      <c r="H528" s="350" t="e">
        <v>#N/A</v>
      </c>
    </row>
    <row r="529" hidden="1">
      <c r="A529" s="258">
        <v>1422.0</v>
      </c>
      <c r="B529" s="259">
        <v>1422.0</v>
      </c>
      <c r="C529" s="348">
        <v>527.0</v>
      </c>
      <c r="D529" s="260">
        <f>IFERROR(__xludf.DUMMYFUNCTION("if(B529&lt;=999,if(B529&lt;=99,IF(B529&lt;=9,join(,""000"",B529),join(,""00"",B529)),join(,""0"",B529)),B529)"),1422.0)</f>
        <v>1422</v>
      </c>
      <c r="E529" s="270" t="s">
        <v>776</v>
      </c>
      <c r="F529" s="263" t="str">
        <f>vlookup(B529,'Geotagging Master All-Training '!$A$2:$C$2474,2,false)</f>
        <v>#N/A</v>
      </c>
      <c r="G529" s="349" t="s">
        <v>20</v>
      </c>
      <c r="H529" s="350"/>
    </row>
    <row r="530">
      <c r="A530" s="272">
        <v>1045.0</v>
      </c>
      <c r="B530" s="272">
        <v>1045.0</v>
      </c>
      <c r="C530" s="353">
        <v>31.0</v>
      </c>
      <c r="D530" s="273">
        <v>1045.0</v>
      </c>
      <c r="E530" s="304" t="s">
        <v>1215</v>
      </c>
      <c r="F530" s="303" t="s">
        <v>1391</v>
      </c>
      <c r="G530" s="351" t="s">
        <v>35</v>
      </c>
      <c r="H530" s="352" t="e">
        <v>#N/A</v>
      </c>
    </row>
    <row r="531" hidden="1">
      <c r="A531" s="258">
        <v>462.0</v>
      </c>
      <c r="B531" s="258">
        <v>462.0</v>
      </c>
      <c r="C531" s="348">
        <v>529.0</v>
      </c>
      <c r="D531" s="260" t="str">
        <f>IFERROR(__xludf.DUMMYFUNCTION("if(B531&lt;=999,if(B531&lt;=99,IF(B531&lt;=9,join(,""000"",B531),join(,""00"",B531)),join(,""0"",B531)),B531)"),"0462")</f>
        <v>0462</v>
      </c>
      <c r="E531" s="270" t="s">
        <v>1185</v>
      </c>
      <c r="F531" s="263" t="str">
        <f>vlookup(B531,'Geotagging Master All-Training '!$A$2:$C$2474,2,false)</f>
        <v>#N/A</v>
      </c>
      <c r="G531" s="349" t="s">
        <v>20</v>
      </c>
      <c r="H531" s="350">
        <v>8.0</v>
      </c>
    </row>
    <row r="532" hidden="1">
      <c r="A532" s="258">
        <v>1193.0</v>
      </c>
      <c r="B532" s="258">
        <v>1193.0</v>
      </c>
      <c r="C532" s="348">
        <v>530.0</v>
      </c>
      <c r="D532" s="260">
        <f>IFERROR(__xludf.DUMMYFUNCTION("if(B532&lt;=999,if(B532&lt;=99,IF(B532&lt;=9,join(,""000"",B532),join(,""00"",B532)),join(,""0"",B532)),B532)"),1193.0)</f>
        <v>1193</v>
      </c>
      <c r="E532" s="262" t="s">
        <v>1187</v>
      </c>
      <c r="F532" s="263" t="str">
        <f>vlookup(B532,'Geotagging Master All-Training '!$A$2:$C$2474,2,false)</f>
        <v>#N/A</v>
      </c>
      <c r="G532" s="349" t="s">
        <v>20</v>
      </c>
      <c r="H532" s="350" t="s">
        <v>1188</v>
      </c>
    </row>
    <row r="533" hidden="1">
      <c r="A533" s="258">
        <v>1401.0</v>
      </c>
      <c r="B533" s="258">
        <v>1401.0</v>
      </c>
      <c r="C533" s="348">
        <v>531.0</v>
      </c>
      <c r="D533" s="260">
        <f>IFERROR(__xludf.DUMMYFUNCTION("if(B533&lt;=999,if(B533&lt;=99,IF(B533&lt;=9,join(,""000"",B533),join(,""00"",B533)),join(,""0"",B533)),B533)"),1401.0)</f>
        <v>1401</v>
      </c>
      <c r="E533" s="262" t="s">
        <v>1189</v>
      </c>
      <c r="F533" s="263" t="str">
        <f>vlookup(B533,'Geotagging Master All-Training '!$A$2:$C$2474,2,false)</f>
        <v>#N/A</v>
      </c>
      <c r="G533" s="349" t="s">
        <v>20</v>
      </c>
      <c r="H533" s="350"/>
    </row>
    <row r="534" hidden="1">
      <c r="A534" s="258">
        <v>1339.0</v>
      </c>
      <c r="B534" s="258">
        <v>1339.0</v>
      </c>
      <c r="C534" s="348">
        <v>532.0</v>
      </c>
      <c r="D534" s="260">
        <f>IFERROR(__xludf.DUMMYFUNCTION("if(B534&lt;=999,if(B534&lt;=99,IF(B534&lt;=9,join(,""000"",B534),join(,""00"",B534)),join(,""0"",B534)),B534)"),1339.0)</f>
        <v>1339</v>
      </c>
      <c r="E534" s="262" t="s">
        <v>1192</v>
      </c>
      <c r="F534" s="263" t="str">
        <f>vlookup(B534,'Geotagging Master All-Training '!$A$2:$C$2474,2,false)</f>
        <v>#N/A</v>
      </c>
      <c r="G534" s="349" t="s">
        <v>20</v>
      </c>
      <c r="H534" s="350" t="s">
        <v>1194</v>
      </c>
    </row>
    <row r="535" hidden="1">
      <c r="A535" s="258">
        <v>1338.0</v>
      </c>
      <c r="B535" s="258">
        <v>1338.0</v>
      </c>
      <c r="C535" s="348">
        <v>533.0</v>
      </c>
      <c r="D535" s="260">
        <f>IFERROR(__xludf.DUMMYFUNCTION("if(B535&lt;=999,if(B535&lt;=99,IF(B535&lt;=9,join(,""000"",B535),join(,""00"",B535)),join(,""0"",B535)),B535)"),1338.0)</f>
        <v>1338</v>
      </c>
      <c r="E535" s="262" t="s">
        <v>1195</v>
      </c>
      <c r="F535" s="263" t="str">
        <f>vlookup(B535,'Geotagging Master All-Training '!$A$2:$C$2474,2,false)</f>
        <v>#N/A</v>
      </c>
      <c r="G535" s="349" t="s">
        <v>20</v>
      </c>
      <c r="H535" s="350">
        <v>6036.0</v>
      </c>
    </row>
    <row r="536" hidden="1">
      <c r="A536" s="258">
        <v>115.0</v>
      </c>
      <c r="B536" s="259">
        <v>115.0</v>
      </c>
      <c r="C536" s="348">
        <v>534.0</v>
      </c>
      <c r="D536" s="260" t="str">
        <f>IFERROR(__xludf.DUMMYFUNCTION("if(B536&lt;=999,if(B536&lt;=99,IF(B536&lt;=9,join(,""000"",B536),join(,""00"",B536)),join(,""0"",B536)),B536)"),"0115")</f>
        <v>0115</v>
      </c>
      <c r="E536" s="270" t="s">
        <v>1196</v>
      </c>
      <c r="F536" s="263" t="str">
        <f>vlookup(B536,'Geotagging Master All-Training '!$A$2:$C$2474,2,false)</f>
        <v>#N/A</v>
      </c>
      <c r="G536" s="349" t="s">
        <v>20</v>
      </c>
      <c r="H536" s="350">
        <v>16.0</v>
      </c>
    </row>
    <row r="537" hidden="1">
      <c r="A537" s="258">
        <v>1351.0</v>
      </c>
      <c r="B537" s="259">
        <v>1351.0</v>
      </c>
      <c r="C537" s="348">
        <v>535.0</v>
      </c>
      <c r="D537" s="260">
        <f>IFERROR(__xludf.DUMMYFUNCTION("if(B537&lt;=999,if(B537&lt;=99,IF(B537&lt;=9,join(,""000"",B537),join(,""00"",B537)),join(,""0"",B537)),B537)"),1351.0)</f>
        <v>1351</v>
      </c>
      <c r="E537" s="270" t="s">
        <v>1197</v>
      </c>
      <c r="F537" s="263" t="str">
        <f>vlookup(B537,'Geotagging Master All-Training '!$A$2:$C$2474,2,false)</f>
        <v>#N/A</v>
      </c>
      <c r="G537" s="349" t="s">
        <v>20</v>
      </c>
      <c r="H537" s="350" t="s">
        <v>1199</v>
      </c>
    </row>
    <row r="538" hidden="1">
      <c r="A538" s="258">
        <v>1231.0</v>
      </c>
      <c r="B538" s="258">
        <v>1231.0</v>
      </c>
      <c r="C538" s="348">
        <v>536.0</v>
      </c>
      <c r="D538" s="260">
        <f>IFERROR(__xludf.DUMMYFUNCTION("if(B538&lt;=999,if(B538&lt;=99,IF(B538&lt;=9,join(,""000"",B538),join(,""00"",B538)),join(,""0"",B538)),B538)"),1231.0)</f>
        <v>1231</v>
      </c>
      <c r="E538" s="262" t="s">
        <v>1200</v>
      </c>
      <c r="F538" s="263" t="str">
        <f>vlookup(B538,'Geotagging Master All-Training '!$A$2:$C$2474,2,false)</f>
        <v>#N/A</v>
      </c>
      <c r="G538" s="349" t="s">
        <v>20</v>
      </c>
      <c r="H538" s="350" t="s">
        <v>1199</v>
      </c>
    </row>
    <row r="539" hidden="1">
      <c r="A539" s="258">
        <v>1319.0</v>
      </c>
      <c r="B539" s="259">
        <v>1319.0</v>
      </c>
      <c r="C539" s="348">
        <v>537.0</v>
      </c>
      <c r="D539" s="260">
        <f>IFERROR(__xludf.DUMMYFUNCTION("if(B539&lt;=999,if(B539&lt;=99,IF(B539&lt;=9,join(,""000"",B539),join(,""00"",B539)),join(,""0"",B539)),B539)"),1319.0)</f>
        <v>1319</v>
      </c>
      <c r="E539" s="262" t="s">
        <v>1201</v>
      </c>
      <c r="F539" s="263" t="str">
        <f>vlookup(B539,'Geotagging Master All-Training '!$A$2:$C$2474,2,false)</f>
        <v>#N/A</v>
      </c>
      <c r="G539" s="349" t="s">
        <v>20</v>
      </c>
      <c r="H539" s="350" t="e">
        <v>#N/A</v>
      </c>
    </row>
    <row r="540" hidden="1">
      <c r="A540" s="258">
        <v>1434.0</v>
      </c>
      <c r="B540" s="258">
        <v>1434.0</v>
      </c>
      <c r="C540" s="348">
        <v>538.0</v>
      </c>
      <c r="D540" s="260">
        <f>IFERROR(__xludf.DUMMYFUNCTION("if(B540&lt;=999,if(B540&lt;=99,IF(B540&lt;=9,join(,""000"",B540),join(,""00"",B540)),join(,""0"",B540)),B540)"),1434.0)</f>
        <v>1434</v>
      </c>
      <c r="E540" s="270" t="s">
        <v>1202</v>
      </c>
      <c r="F540" s="263" t="str">
        <f>vlookup(B540,'Geotagging Master All-Training '!$A$2:$C$2474,2,false)</f>
        <v>#N/A</v>
      </c>
      <c r="G540" s="349" t="s">
        <v>20</v>
      </c>
      <c r="H540" s="350"/>
    </row>
    <row r="541" hidden="1">
      <c r="A541" s="258">
        <v>1201.0</v>
      </c>
      <c r="B541" s="258">
        <v>1201.0</v>
      </c>
      <c r="C541" s="348">
        <v>539.0</v>
      </c>
      <c r="D541" s="260">
        <f>IFERROR(__xludf.DUMMYFUNCTION("if(B541&lt;=999,if(B541&lt;=99,IF(B541&lt;=9,join(,""000"",B541),join(,""00"",B541)),join(,""0"",B541)),B541)"),1201.0)</f>
        <v>1201</v>
      </c>
      <c r="E541" s="270" t="s">
        <v>1203</v>
      </c>
      <c r="F541" s="263" t="str">
        <f>vlookup(B541,'Geotagging Master All-Training '!$A$2:$C$2474,2,false)</f>
        <v>#N/A</v>
      </c>
      <c r="G541" s="349" t="s">
        <v>20</v>
      </c>
      <c r="H541" s="350"/>
    </row>
    <row r="542" hidden="1">
      <c r="A542" s="258">
        <v>463.0</v>
      </c>
      <c r="B542" s="258">
        <v>463.0</v>
      </c>
      <c r="C542" s="348">
        <v>540.0</v>
      </c>
      <c r="D542" s="260" t="str">
        <f>IFERROR(__xludf.DUMMYFUNCTION("if(B542&lt;=999,if(B542&lt;=99,IF(B542&lt;=9,join(,""000"",B542),join(,""00"",B542)),join(,""0"",B542)),B542)"),"0463")</f>
        <v>0463</v>
      </c>
      <c r="E542" s="270" t="s">
        <v>1204</v>
      </c>
      <c r="F542" s="263" t="str">
        <f>vlookup(B542,'Geotagging Master All-Training '!$A$2:$C$2474,2,false)</f>
        <v>#N/A</v>
      </c>
      <c r="G542" s="349" t="s">
        <v>20</v>
      </c>
      <c r="H542" s="350">
        <v>16.0</v>
      </c>
    </row>
    <row r="543" hidden="1">
      <c r="A543" s="258">
        <v>1196.0</v>
      </c>
      <c r="B543" s="258">
        <v>1196.0</v>
      </c>
      <c r="C543" s="348">
        <v>541.0</v>
      </c>
      <c r="D543" s="260">
        <f>IFERROR(__xludf.DUMMYFUNCTION("if(B543&lt;=999,if(B543&lt;=99,IF(B543&lt;=9,join(,""000"",B543),join(,""00"",B543)),join(,""0"",B543)),B543)"),1196.0)</f>
        <v>1196</v>
      </c>
      <c r="E543" s="270" t="s">
        <v>1205</v>
      </c>
      <c r="F543" s="263" t="str">
        <f>vlookup(B543,'Geotagging Master All-Training '!$A$2:$C$2474,2,false)</f>
        <v>#N/A</v>
      </c>
      <c r="G543" s="349" t="s">
        <v>20</v>
      </c>
      <c r="H543" s="350">
        <v>16.0</v>
      </c>
    </row>
    <row r="544" hidden="1">
      <c r="A544" s="258">
        <v>22.0</v>
      </c>
      <c r="B544" s="259">
        <v>22.0</v>
      </c>
      <c r="C544" s="348">
        <v>542.0</v>
      </c>
      <c r="D544" s="260" t="str">
        <f>IFERROR(__xludf.DUMMYFUNCTION("if(B544&lt;=999,if(B544&lt;=99,IF(B544&lt;=9,join(,""000"",B544),join(,""00"",B544)),join(,""0"",B544)),B544)"),"0022")</f>
        <v>0022</v>
      </c>
      <c r="E544" s="262" t="s">
        <v>1206</v>
      </c>
      <c r="F544" s="263" t="str">
        <f>vlookup(B544,'Geotagging Master All-Training '!$A$2:$C$2474,2,false)</f>
        <v>#N/A</v>
      </c>
      <c r="G544" s="349" t="s">
        <v>20</v>
      </c>
      <c r="H544" s="350">
        <v>16.0</v>
      </c>
    </row>
    <row r="545" hidden="1">
      <c r="A545" s="258">
        <v>1407.0</v>
      </c>
      <c r="B545" s="258">
        <v>1407.0</v>
      </c>
      <c r="C545" s="348">
        <v>543.0</v>
      </c>
      <c r="D545" s="260">
        <f>IFERROR(__xludf.DUMMYFUNCTION("if(B545&lt;=999,if(B545&lt;=99,IF(B545&lt;=9,join(,""000"",B545),join(,""00"",B545)),join(,""0"",B545)),B545)"),1407.0)</f>
        <v>1407</v>
      </c>
      <c r="E545" s="262" t="s">
        <v>1208</v>
      </c>
      <c r="F545" s="263" t="str">
        <f>vlookup(B545,'Geotagging Master All-Training '!$A$2:$C$2474,2,false)</f>
        <v>#N/A</v>
      </c>
      <c r="G545" s="349" t="s">
        <v>20</v>
      </c>
      <c r="H545" s="350">
        <v>80.0</v>
      </c>
    </row>
    <row r="546" hidden="1">
      <c r="A546" s="258">
        <v>234.0</v>
      </c>
      <c r="B546" s="259">
        <v>234.0</v>
      </c>
      <c r="C546" s="348">
        <v>544.0</v>
      </c>
      <c r="D546" s="260" t="str">
        <f>IFERROR(__xludf.DUMMYFUNCTION("if(B546&lt;=999,if(B546&lt;=99,IF(B546&lt;=9,join(,""000"",B546),join(,""00"",B546)),join(,""0"",B546)),B546)"),"0234")</f>
        <v>0234</v>
      </c>
      <c r="E546" s="270" t="s">
        <v>793</v>
      </c>
      <c r="F546" s="263" t="str">
        <f>vlookup(B546,'Geotagging Master All-Training '!$A$2:$C$2474,2,false)</f>
        <v>#N/A</v>
      </c>
      <c r="G546" s="349" t="s">
        <v>20</v>
      </c>
      <c r="H546" s="350" t="s">
        <v>794</v>
      </c>
    </row>
    <row r="547" hidden="1">
      <c r="A547" s="272">
        <v>529.0</v>
      </c>
      <c r="B547" s="272">
        <v>529.0</v>
      </c>
      <c r="C547" s="348">
        <v>545.0</v>
      </c>
      <c r="D547" s="273" t="str">
        <f>IFERROR(__xludf.DUMMYFUNCTION("if(B547&lt;=999,if(B547&lt;=99,IF(B547&lt;=9,join(,""000"",B547),join(,""00"",B547)),join(,""0"",B547)),B547)"),"0529")</f>
        <v>0529</v>
      </c>
      <c r="E547" s="304" t="s">
        <v>1211</v>
      </c>
      <c r="F547" s="263" t="str">
        <f>vlookup(B547,'Geotagging Master All-Training '!$A$2:$C$2474,2,false)</f>
        <v>#N/A</v>
      </c>
      <c r="G547" s="351" t="s">
        <v>20</v>
      </c>
      <c r="H547" s="352">
        <v>5000.0</v>
      </c>
    </row>
    <row r="548" hidden="1">
      <c r="A548" s="272">
        <v>235.0</v>
      </c>
      <c r="B548" s="272">
        <v>235.0</v>
      </c>
      <c r="C548" s="348">
        <v>546.0</v>
      </c>
      <c r="D548" s="273" t="str">
        <f>IFERROR(__xludf.DUMMYFUNCTION("if(B548&lt;=999,if(B548&lt;=99,IF(B548&lt;=9,join(,""000"",B548),join(,""00"",B548)),join(,""0"",B548)),B548)"),"0235")</f>
        <v>0235</v>
      </c>
      <c r="E548" s="274" t="s">
        <v>1213</v>
      </c>
      <c r="F548" s="263" t="str">
        <f>vlookup(B548,'Geotagging Master All-Training '!$A$2:$C$2474,2,false)</f>
        <v>#N/A</v>
      </c>
      <c r="G548" s="351" t="s">
        <v>20</v>
      </c>
      <c r="H548" s="352" t="s">
        <v>1214</v>
      </c>
    </row>
    <row r="549">
      <c r="A549" s="272">
        <v>350.0</v>
      </c>
      <c r="B549" s="272">
        <v>350.0</v>
      </c>
      <c r="C549" s="353">
        <v>32.0</v>
      </c>
      <c r="D549" s="273" t="s">
        <v>1392</v>
      </c>
      <c r="E549" s="304" t="s">
        <v>1233</v>
      </c>
      <c r="F549" s="303" t="s">
        <v>1393</v>
      </c>
      <c r="G549" s="351" t="s">
        <v>35</v>
      </c>
      <c r="H549" s="352" t="e">
        <v>#N/A</v>
      </c>
    </row>
    <row r="550" hidden="1">
      <c r="A550" s="272">
        <v>1145.0</v>
      </c>
      <c r="B550" s="272">
        <v>1145.0</v>
      </c>
      <c r="C550" s="348">
        <v>548.0</v>
      </c>
      <c r="D550" s="273">
        <f>IFERROR(__xludf.DUMMYFUNCTION("if(B550&lt;=999,if(B550&lt;=99,IF(B550&lt;=9,join(,""000"",B550),join(,""00"",B550)),join(,""0"",B550)),B550)"),1145.0)</f>
        <v>1145</v>
      </c>
      <c r="E550" s="304" t="s">
        <v>1216</v>
      </c>
      <c r="F550" s="263" t="str">
        <f>vlookup(B550,'Geotagging Master All-Training '!$A$2:$C$2474,2,false)</f>
        <v>#N/A</v>
      </c>
      <c r="G550" s="351" t="s">
        <v>20</v>
      </c>
      <c r="H550" s="352">
        <v>36666.0</v>
      </c>
    </row>
    <row r="551" hidden="1">
      <c r="A551" s="258">
        <v>1040.0</v>
      </c>
      <c r="B551" s="259">
        <v>1040.0</v>
      </c>
      <c r="C551" s="348">
        <v>549.0</v>
      </c>
      <c r="D551" s="260">
        <f>IFERROR(__xludf.DUMMYFUNCTION("if(B551&lt;=999,if(B551&lt;=99,IF(B551&lt;=9,join(,""000"",B551),join(,""00"",B551)),join(,""0"",B551)),B551)"),1040.0)</f>
        <v>1040</v>
      </c>
      <c r="E551" s="270" t="s">
        <v>1218</v>
      </c>
      <c r="F551" s="263" t="str">
        <f>vlookup(B551,'Geotagging Master All-Training '!$A$2:$C$2474,2,false)</f>
        <v>#N/A</v>
      </c>
      <c r="G551" s="349" t="s">
        <v>20</v>
      </c>
      <c r="H551" s="350">
        <v>91.0</v>
      </c>
    </row>
    <row r="552" hidden="1">
      <c r="A552" s="258">
        <v>78.0</v>
      </c>
      <c r="B552" s="258">
        <v>78.0</v>
      </c>
      <c r="C552" s="348">
        <v>550.0</v>
      </c>
      <c r="D552" s="260" t="str">
        <f>IFERROR(__xludf.DUMMYFUNCTION("if(B552&lt;=999,if(B552&lt;=99,IF(B552&lt;=9,join(,""000"",B552),join(,""00"",B552)),join(,""0"",B552)),B552)"),"0078")</f>
        <v>0078</v>
      </c>
      <c r="E552" s="270" t="s">
        <v>1048</v>
      </c>
      <c r="F552" s="263" t="str">
        <f>vlookup(B552,'Geotagging Master All-Training '!$A$2:$C$2474,2,false)</f>
        <v>#N/A</v>
      </c>
      <c r="G552" s="349" t="s">
        <v>20</v>
      </c>
      <c r="H552" s="350" t="e">
        <v>#N/A</v>
      </c>
    </row>
    <row r="553" hidden="1">
      <c r="A553" s="258">
        <v>1448.0</v>
      </c>
      <c r="B553" s="258">
        <v>1448.0</v>
      </c>
      <c r="C553" s="348">
        <v>551.0</v>
      </c>
      <c r="D553" s="260">
        <f>IFERROR(__xludf.DUMMYFUNCTION("if(B553&lt;=999,if(B553&lt;=99,IF(B553&lt;=9,join(,""000"",B553),join(,""00"",B553)),join(,""0"",B553)),B553)"),1448.0)</f>
        <v>1448</v>
      </c>
      <c r="E553" s="262" t="s">
        <v>1221</v>
      </c>
      <c r="F553" s="263" t="str">
        <f>vlookup(B553,'Geotagging Master All-Training '!$A$2:$C$2474,2,false)</f>
        <v>#N/A</v>
      </c>
      <c r="G553" s="349" t="s">
        <v>20</v>
      </c>
      <c r="H553" s="350">
        <v>81.0</v>
      </c>
    </row>
    <row r="554" hidden="1">
      <c r="A554" s="272">
        <v>230.0</v>
      </c>
      <c r="B554" s="272">
        <v>230.0</v>
      </c>
      <c r="C554" s="348">
        <v>552.0</v>
      </c>
      <c r="D554" s="273" t="str">
        <f>IFERROR(__xludf.DUMMYFUNCTION("if(B554&lt;=999,if(B554&lt;=99,IF(B554&lt;=9,join(,""000"",B554),join(,""00"",B554)),join(,""0"",B554)),B554)"),"0230")</f>
        <v>0230</v>
      </c>
      <c r="E554" s="304" t="s">
        <v>1222</v>
      </c>
      <c r="F554" s="263" t="str">
        <f>vlookup(B554,'Geotagging Master All-Training '!$A$2:$C$2474,2,false)</f>
        <v>#N/A</v>
      </c>
      <c r="G554" s="351" t="s">
        <v>20</v>
      </c>
      <c r="H554" s="352" t="e">
        <v>#N/A</v>
      </c>
    </row>
    <row r="555" hidden="1">
      <c r="A555" s="258">
        <v>635.0</v>
      </c>
      <c r="B555" s="258">
        <v>635.0</v>
      </c>
      <c r="C555" s="348">
        <v>553.0</v>
      </c>
      <c r="D555" s="260" t="str">
        <f>IFERROR(__xludf.DUMMYFUNCTION("if(B555&lt;=999,if(B555&lt;=99,IF(B555&lt;=9,join(,""000"",B555),join(,""00"",B555)),join(,""0"",B555)),B555)"),"0635")</f>
        <v>0635</v>
      </c>
      <c r="E555" s="262" t="s">
        <v>1226</v>
      </c>
      <c r="F555" s="263" t="str">
        <f>vlookup(B555,'Geotagging Master All-Training '!$A$2:$C$2474,2,false)</f>
        <v>#N/A</v>
      </c>
      <c r="G555" s="349" t="s">
        <v>20</v>
      </c>
      <c r="H555" s="350">
        <v>91.0</v>
      </c>
    </row>
    <row r="556" hidden="1">
      <c r="A556" s="272">
        <v>1357.0</v>
      </c>
      <c r="B556" s="272">
        <v>1357.0</v>
      </c>
      <c r="C556" s="348">
        <v>554.0</v>
      </c>
      <c r="D556" s="273">
        <f>IFERROR(__xludf.DUMMYFUNCTION("if(B556&lt;=999,if(B556&lt;=99,IF(B556&lt;=9,join(,""000"",B556),join(,""00"",B556)),join(,""0"",B556)),B556)"),1357.0)</f>
        <v>1357</v>
      </c>
      <c r="E556" s="274" t="s">
        <v>1230</v>
      </c>
      <c r="F556" s="263" t="str">
        <f>vlookup(B556,'Geotagging Master All-Training '!$A$2:$C$2474,2,false)</f>
        <v>#N/A</v>
      </c>
      <c r="G556" s="351" t="s">
        <v>20</v>
      </c>
      <c r="H556" s="352">
        <v>16.0</v>
      </c>
    </row>
    <row r="557" hidden="1">
      <c r="A557" s="272">
        <v>246.0</v>
      </c>
      <c r="B557" s="272">
        <v>246.0</v>
      </c>
      <c r="C557" s="353">
        <v>573.0</v>
      </c>
      <c r="D557" s="273" t="str">
        <f>IFERROR(__xludf.DUMMYFUNCTION("if(B557&lt;=999,if(B557&lt;=99,IF(B557&lt;=9,join(,""000"",B557),join(,""00"",B557)),join(,""0"",B557)),B557)"),"0246")</f>
        <v>0246</v>
      </c>
      <c r="E557" s="304" t="s">
        <v>1263</v>
      </c>
      <c r="F557" s="303" t="str">
        <f>vlookup(B557,'Geotagging Master All-Training '!$A$2:$C$2474,2,false)</f>
        <v>#N/A</v>
      </c>
      <c r="G557" s="351" t="s">
        <v>20</v>
      </c>
      <c r="H557" s="352">
        <v>80.0</v>
      </c>
    </row>
    <row r="558" hidden="1">
      <c r="A558" s="324">
        <v>955.0</v>
      </c>
      <c r="B558" s="324">
        <v>955.0</v>
      </c>
      <c r="C558" s="363">
        <v>556.0</v>
      </c>
      <c r="D558" s="325" t="str">
        <f>IFERROR(__xludf.DUMMYFUNCTION("if(B558&lt;=999,if(B558&lt;=99,IF(B558&lt;=9,join(,""000"",B558),join(,""00"",B558)),join(,""0"",B558)),B558)"),"0955")</f>
        <v>0955</v>
      </c>
      <c r="E558" s="326" t="s">
        <v>1234</v>
      </c>
      <c r="F558" s="327" t="str">
        <f>vlookup(B558,'Geotagging Master All-Training '!$A$2:$C$2474,2,false)</f>
        <v>#N/A</v>
      </c>
      <c r="G558" s="364" t="s">
        <v>20</v>
      </c>
      <c r="H558" s="365"/>
    </row>
    <row r="559" hidden="1">
      <c r="A559" s="258">
        <v>1278.0</v>
      </c>
      <c r="B559" s="258">
        <v>1278.0</v>
      </c>
      <c r="C559" s="348">
        <v>557.0</v>
      </c>
      <c r="D559" s="260">
        <f>IFERROR(__xludf.DUMMYFUNCTION("if(B559&lt;=999,if(B559&lt;=99,IF(B559&lt;=9,join(,""000"",B559),join(,""00"",B559)),join(,""0"",B559)),B559)"),1278.0)</f>
        <v>1278</v>
      </c>
      <c r="E559" s="262" t="s">
        <v>1236</v>
      </c>
      <c r="F559" s="263" t="str">
        <f>vlookup(B559,'Geotagging Master All-Training '!$A$2:$C$2474,2,false)</f>
        <v>#N/A</v>
      </c>
      <c r="G559" s="349" t="s">
        <v>20</v>
      </c>
      <c r="H559" s="350" t="s">
        <v>1238</v>
      </c>
    </row>
    <row r="560" hidden="1">
      <c r="A560" s="272">
        <v>1261.0</v>
      </c>
      <c r="B560" s="272">
        <v>1261.0</v>
      </c>
      <c r="C560" s="348">
        <v>558.0</v>
      </c>
      <c r="D560" s="273">
        <f>IFERROR(__xludf.DUMMYFUNCTION("if(B560&lt;=999,if(B560&lt;=99,IF(B560&lt;=9,join(,""000"",B560),join(,""00"",B560)),join(,""0"",B560)),B560)"),1261.0)</f>
        <v>1261</v>
      </c>
      <c r="E560" s="274" t="s">
        <v>1239</v>
      </c>
      <c r="F560" s="263" t="str">
        <f>vlookup(B560,'Geotagging Master All-Training '!$A$2:$C$2474,2,false)</f>
        <v>#N/A</v>
      </c>
      <c r="G560" s="351" t="s">
        <v>20</v>
      </c>
      <c r="H560" s="352">
        <v>25001.0</v>
      </c>
    </row>
    <row r="561" hidden="1">
      <c r="A561" s="258">
        <v>1259.0</v>
      </c>
      <c r="B561" s="258">
        <v>1259.0</v>
      </c>
      <c r="C561" s="348">
        <v>559.0</v>
      </c>
      <c r="D561" s="260">
        <f>IFERROR(__xludf.DUMMYFUNCTION("if(B561&lt;=999,if(B561&lt;=99,IF(B561&lt;=9,join(,""000"",B561),join(,""00"",B561)),join(,""0"",B561)),B561)"),1259.0)</f>
        <v>1259</v>
      </c>
      <c r="E561" s="270" t="s">
        <v>1240</v>
      </c>
      <c r="F561" s="263" t="str">
        <f>vlookup(B561,'Geotagging Master All-Training '!$A$2:$C$2474,2,false)</f>
        <v>#N/A</v>
      </c>
      <c r="G561" s="349" t="s">
        <v>20</v>
      </c>
      <c r="H561" s="350" t="e">
        <v>#N/A</v>
      </c>
    </row>
    <row r="562" hidden="1">
      <c r="A562" s="258">
        <v>1321.0</v>
      </c>
      <c r="B562" s="258">
        <v>1321.0</v>
      </c>
      <c r="C562" s="348">
        <v>560.0</v>
      </c>
      <c r="D562" s="260">
        <f>IFERROR(__xludf.DUMMYFUNCTION("if(B562&lt;=999,if(B562&lt;=99,IF(B562&lt;=9,join(,""000"",B562),join(,""00"",B562)),join(,""0"",B562)),B562)"),1321.0)</f>
        <v>1321</v>
      </c>
      <c r="E562" s="270" t="s">
        <v>1241</v>
      </c>
      <c r="F562" s="263" t="str">
        <f>vlookup(B562,'Geotagging Master All-Training '!$A$2:$C$2474,2,false)</f>
        <v>#N/A</v>
      </c>
      <c r="G562" s="349" t="s">
        <v>20</v>
      </c>
      <c r="H562" s="350" t="s">
        <v>1244</v>
      </c>
    </row>
    <row r="563" hidden="1">
      <c r="A563" s="258">
        <v>252.0</v>
      </c>
      <c r="B563" s="258">
        <v>252.0</v>
      </c>
      <c r="C563" s="348">
        <v>561.0</v>
      </c>
      <c r="D563" s="260" t="str">
        <f>IFERROR(__xludf.DUMMYFUNCTION("if(B563&lt;=999,if(B563&lt;=99,IF(B563&lt;=9,join(,""000"",B563),join(,""00"",B563)),join(,""0"",B563)),B563)"),"0252")</f>
        <v>0252</v>
      </c>
      <c r="E563" s="262" t="s">
        <v>1246</v>
      </c>
      <c r="F563" s="263" t="str">
        <f>vlookup(B563,'Geotagging Master All-Training '!$A$2:$C$2474,2,false)</f>
        <v>#N/A</v>
      </c>
      <c r="G563" s="349" t="s">
        <v>20</v>
      </c>
      <c r="H563" s="350">
        <v>8081.0</v>
      </c>
    </row>
    <row r="564" hidden="1">
      <c r="A564" s="258">
        <v>633.0</v>
      </c>
      <c r="B564" s="258">
        <v>633.0</v>
      </c>
      <c r="C564" s="348">
        <v>562.0</v>
      </c>
      <c r="D564" s="260" t="str">
        <f>IFERROR(__xludf.DUMMYFUNCTION("if(B564&lt;=999,if(B564&lt;=99,IF(B564&lt;=9,join(,""000"",B564),join(,""00"",B564)),join(,""0"",B564)),B564)"),"0633")</f>
        <v>0633</v>
      </c>
      <c r="E564" s="270" t="s">
        <v>1249</v>
      </c>
      <c r="F564" s="263" t="str">
        <f>vlookup(B564,'Geotagging Master All-Training '!$A$2:$C$2474,2,false)</f>
        <v>#N/A</v>
      </c>
      <c r="G564" s="349" t="s">
        <v>20</v>
      </c>
      <c r="H564" s="350"/>
    </row>
    <row r="565" hidden="1">
      <c r="A565" s="258">
        <v>1150.0</v>
      </c>
      <c r="B565" s="258">
        <v>1150.0</v>
      </c>
      <c r="C565" s="348">
        <v>563.0</v>
      </c>
      <c r="D565" s="260">
        <f>IFERROR(__xludf.DUMMYFUNCTION("if(B565&lt;=999,if(B565&lt;=99,IF(B565&lt;=9,join(,""000"",B565),join(,""00"",B565)),join(,""0"",B565)),B565)"),1150.0)</f>
        <v>1150</v>
      </c>
      <c r="E565" s="270" t="s">
        <v>1251</v>
      </c>
      <c r="F565" s="263" t="str">
        <f>vlookup(B565,'Geotagging Master All-Training '!$A$2:$C$2474,2,false)</f>
        <v>#N/A</v>
      </c>
      <c r="G565" s="349" t="s">
        <v>20</v>
      </c>
      <c r="H565" s="350">
        <v>7000.0</v>
      </c>
    </row>
    <row r="566" hidden="1">
      <c r="A566" s="258">
        <v>1147.0</v>
      </c>
      <c r="B566" s="258">
        <v>1147.0</v>
      </c>
      <c r="C566" s="348">
        <v>564.0</v>
      </c>
      <c r="D566" s="260">
        <f>IFERROR(__xludf.DUMMYFUNCTION("if(B566&lt;=999,if(B566&lt;=99,IF(B566&lt;=9,join(,""000"",B566),join(,""00"",B566)),join(,""0"",B566)),B566)"),1147.0)</f>
        <v>1147</v>
      </c>
      <c r="E566" s="262" t="s">
        <v>1252</v>
      </c>
      <c r="F566" s="263" t="str">
        <f>vlookup(B566,'Geotagging Master All-Training '!$A$2:$C$2474,2,false)</f>
        <v>#N/A</v>
      </c>
      <c r="G566" s="349" t="s">
        <v>20</v>
      </c>
      <c r="H566" s="350">
        <v>25001.0</v>
      </c>
    </row>
    <row r="567" hidden="1">
      <c r="A567" s="258">
        <v>1243.0</v>
      </c>
      <c r="B567" s="258">
        <v>1243.0</v>
      </c>
      <c r="C567" s="348">
        <v>565.0</v>
      </c>
      <c r="D567" s="260">
        <f>IFERROR(__xludf.DUMMYFUNCTION("if(B567&lt;=999,if(B567&lt;=99,IF(B567&lt;=9,join(,""000"",B567),join(,""00"",B567)),join(,""0"",B567)),B567)"),1243.0)</f>
        <v>1243</v>
      </c>
      <c r="E567" s="262" t="s">
        <v>1254</v>
      </c>
      <c r="F567" s="263" t="str">
        <f>vlookup(B567,'Geotagging Master All-Training '!$A$2:$C$2474,2,false)</f>
        <v>#N/A</v>
      </c>
      <c r="G567" s="349" t="s">
        <v>20</v>
      </c>
      <c r="H567" s="350" t="s">
        <v>1258</v>
      </c>
    </row>
    <row r="568" hidden="1">
      <c r="A568" s="258">
        <v>268.0</v>
      </c>
      <c r="B568" s="259">
        <v>268.0</v>
      </c>
      <c r="C568" s="348">
        <v>566.0</v>
      </c>
      <c r="D568" s="260" t="str">
        <f>IFERROR(__xludf.DUMMYFUNCTION("if(B568&lt;=999,if(B568&lt;=99,IF(B568&lt;=9,join(,""000"",B568),join(,""00"",B568)),join(,""0"",B568)),B568)"),"0268")</f>
        <v>0268</v>
      </c>
      <c r="E568" s="262" t="s">
        <v>1255</v>
      </c>
      <c r="F568" s="263" t="str">
        <f>vlookup(B568,'Geotagging Master All-Training '!$A$2:$C$2474,2,false)</f>
        <v>#N/A</v>
      </c>
      <c r="G568" s="349" t="s">
        <v>20</v>
      </c>
      <c r="H568" s="350" t="s">
        <v>1258</v>
      </c>
    </row>
    <row r="569" hidden="1">
      <c r="A569" s="258">
        <v>282.0</v>
      </c>
      <c r="B569" s="258">
        <v>282.0</v>
      </c>
      <c r="C569" s="348">
        <v>567.0</v>
      </c>
      <c r="D569" s="260" t="str">
        <f>IFERROR(__xludf.DUMMYFUNCTION("if(B569&lt;=999,if(B569&lt;=99,IF(B569&lt;=9,join(,""000"",B569),join(,""00"",B569)),join(,""0"",B569)),B569)"),"0282")</f>
        <v>0282</v>
      </c>
      <c r="E569" s="262" t="s">
        <v>1256</v>
      </c>
      <c r="F569" s="263" t="str">
        <f>vlookup(B569,'Geotagging Master All-Training '!$A$2:$C$2474,2,false)</f>
        <v>#N/A</v>
      </c>
      <c r="G569" s="349" t="s">
        <v>20</v>
      </c>
      <c r="H569" s="350" t="s">
        <v>1258</v>
      </c>
    </row>
    <row r="570" hidden="1">
      <c r="A570" s="258">
        <v>678.0</v>
      </c>
      <c r="B570" s="258">
        <v>678.0</v>
      </c>
      <c r="C570" s="348">
        <v>568.0</v>
      </c>
      <c r="D570" s="260" t="str">
        <f>IFERROR(__xludf.DUMMYFUNCTION("if(B570&lt;=999,if(B570&lt;=99,IF(B570&lt;=9,join(,""000"",B570),join(,""00"",B570)),join(,""0"",B570)),B570)"),"0678")</f>
        <v>0678</v>
      </c>
      <c r="E570" s="262" t="s">
        <v>1257</v>
      </c>
      <c r="F570" s="263" t="str">
        <f>vlookup(B570,'Geotagging Master All-Training '!$A$2:$C$2474,2,false)</f>
        <v>#N/A</v>
      </c>
      <c r="G570" s="349" t="s">
        <v>20</v>
      </c>
      <c r="H570" s="350" t="s">
        <v>1258</v>
      </c>
    </row>
    <row r="571" hidden="1">
      <c r="A571" s="258">
        <v>30.0</v>
      </c>
      <c r="B571" s="258">
        <v>30.0</v>
      </c>
      <c r="C571" s="348">
        <v>569.0</v>
      </c>
      <c r="D571" s="260" t="str">
        <f>IFERROR(__xludf.DUMMYFUNCTION("if(B571&lt;=999,if(B571&lt;=99,IF(B571&lt;=9,join(,""000"",B571),join(,""00"",B571)),join(,""0"",B571)),B571)"),"0030")</f>
        <v>0030</v>
      </c>
      <c r="E571" s="262" t="s">
        <v>1259</v>
      </c>
      <c r="F571" s="263" t="str">
        <f>vlookup(B571,'Geotagging Master All-Training '!$A$2:$C$2474,2,false)</f>
        <v>#N/A</v>
      </c>
      <c r="G571" s="349" t="s">
        <v>20</v>
      </c>
      <c r="H571" s="350">
        <v>25001.0</v>
      </c>
    </row>
    <row r="572" hidden="1">
      <c r="A572" s="258">
        <v>343.0</v>
      </c>
      <c r="B572" s="258">
        <v>343.0</v>
      </c>
      <c r="C572" s="348">
        <v>570.0</v>
      </c>
      <c r="D572" s="260" t="str">
        <f>IFERROR(__xludf.DUMMYFUNCTION("if(B572&lt;=999,if(B572&lt;=99,IF(B572&lt;=9,join(,""000"",B572),join(,""00"",B572)),join(,""0"",B572)),B572)"),"0343")</f>
        <v>0343</v>
      </c>
      <c r="E572" s="270" t="s">
        <v>1260</v>
      </c>
      <c r="F572" s="263" t="str">
        <f>vlookup(B572,'Geotagging Master All-Training '!$A$2:$C$2474,2,false)</f>
        <v>#N/A</v>
      </c>
      <c r="G572" s="349" t="s">
        <v>20</v>
      </c>
      <c r="H572" s="350">
        <v>16.0</v>
      </c>
    </row>
    <row r="573" hidden="1">
      <c r="A573" s="258">
        <v>1420.0</v>
      </c>
      <c r="B573" s="258">
        <v>1420.0</v>
      </c>
      <c r="C573" s="348">
        <v>571.0</v>
      </c>
      <c r="D573" s="260">
        <f>IFERROR(__xludf.DUMMYFUNCTION("if(B573&lt;=999,if(B573&lt;=99,IF(B573&lt;=9,join(,""000"",B573),join(,""00"",B573)),join(,""0"",B573)),B573)"),1420.0)</f>
        <v>1420</v>
      </c>
      <c r="E573" s="270" t="s">
        <v>1261</v>
      </c>
      <c r="F573" s="263" t="str">
        <f>vlookup(B573,'Geotagging Master All-Training '!$A$2:$C$2474,2,false)</f>
        <v>#N/A</v>
      </c>
      <c r="G573" s="349" t="s">
        <v>20</v>
      </c>
      <c r="H573" s="350">
        <v>32.0</v>
      </c>
    </row>
    <row r="574" hidden="1">
      <c r="A574" s="258">
        <v>1408.0</v>
      </c>
      <c r="B574" s="259">
        <v>1408.0</v>
      </c>
      <c r="C574" s="348">
        <v>572.0</v>
      </c>
      <c r="D574" s="260">
        <f>IFERROR(__xludf.DUMMYFUNCTION("if(B574&lt;=999,if(B574&lt;=99,IF(B574&lt;=9,join(,""000"",B574),join(,""00"",B574)),join(,""0"",B574)),B574)"),1408.0)</f>
        <v>1408</v>
      </c>
      <c r="E574" s="270" t="s">
        <v>1262</v>
      </c>
      <c r="F574" s="263" t="str">
        <f>vlookup(B574,'Geotagging Master All-Training '!$A$2:$C$2474,2,false)</f>
        <v>#N/A</v>
      </c>
      <c r="G574" s="349" t="s">
        <v>20</v>
      </c>
      <c r="H574" s="350">
        <v>8.0</v>
      </c>
    </row>
    <row r="575">
      <c r="A575" s="272">
        <v>1388.0</v>
      </c>
      <c r="B575" s="272">
        <v>1388.0</v>
      </c>
      <c r="C575" s="353">
        <v>33.0</v>
      </c>
      <c r="D575" s="273">
        <v>1388.0</v>
      </c>
      <c r="E575" s="304" t="s">
        <v>1282</v>
      </c>
      <c r="F575" s="303" t="s">
        <v>1394</v>
      </c>
      <c r="G575" s="351" t="s">
        <v>35</v>
      </c>
      <c r="H575" s="352" t="e">
        <v>#N/A</v>
      </c>
    </row>
    <row r="576" hidden="1">
      <c r="A576" s="258">
        <v>1089.0</v>
      </c>
      <c r="B576" s="258">
        <v>1089.0</v>
      </c>
      <c r="C576" s="348">
        <v>574.0</v>
      </c>
      <c r="D576" s="260">
        <f>IFERROR(__xludf.DUMMYFUNCTION("if(B576&lt;=999,if(B576&lt;=99,IF(B576&lt;=9,join(,""000"",B576),join(,""00"",B576)),join(,""0"",B576)),B576)"),1089.0)</f>
        <v>1089</v>
      </c>
      <c r="E576" s="262" t="s">
        <v>1264</v>
      </c>
      <c r="F576" s="263" t="str">
        <f>vlookup(B576,'Geotagging Master All-Training '!$A$2:$C$2474,2,false)</f>
        <v>#N/A</v>
      </c>
      <c r="G576" s="349" t="s">
        <v>20</v>
      </c>
      <c r="H576" s="350" t="e">
        <v>#N/A</v>
      </c>
    </row>
    <row r="577" hidden="1">
      <c r="A577" s="258">
        <v>1119.0</v>
      </c>
      <c r="B577" s="258">
        <v>1119.0</v>
      </c>
      <c r="C577" s="348">
        <v>575.0</v>
      </c>
      <c r="D577" s="260">
        <f>IFERROR(__xludf.DUMMYFUNCTION("if(B577&lt;=999,if(B577&lt;=99,IF(B577&lt;=9,join(,""000"",B577),join(,""00"",B577)),join(,""0"",B577)),B577)"),1119.0)</f>
        <v>1119</v>
      </c>
      <c r="E577" s="262" t="s">
        <v>1266</v>
      </c>
      <c r="F577" s="263" t="str">
        <f>vlookup(B577,'Geotagging Master All-Training '!$A$2:$C$2474,2,false)</f>
        <v>#N/A</v>
      </c>
      <c r="G577" s="349" t="s">
        <v>20</v>
      </c>
      <c r="H577" s="350">
        <v>25001.0</v>
      </c>
    </row>
    <row r="578" hidden="1">
      <c r="A578" s="272">
        <v>1235.0</v>
      </c>
      <c r="B578" s="272">
        <v>1235.0</v>
      </c>
      <c r="C578" s="348">
        <v>576.0</v>
      </c>
      <c r="D578" s="273">
        <f>IFERROR(__xludf.DUMMYFUNCTION("if(B578&lt;=999,if(B578&lt;=99,IF(B578&lt;=9,join(,""000"",B578),join(,""00"",B578)),join(,""0"",B578)),B578)"),1235.0)</f>
        <v>1235</v>
      </c>
      <c r="E578" s="304" t="s">
        <v>1267</v>
      </c>
      <c r="F578" s="263" t="str">
        <f>vlookup(B578,'Geotagging Master All-Training '!$A$2:$C$2474,2,false)</f>
        <v>#N/A</v>
      </c>
      <c r="G578" s="351" t="s">
        <v>20</v>
      </c>
      <c r="H578" s="352" t="s">
        <v>550</v>
      </c>
    </row>
    <row r="579" hidden="1">
      <c r="A579" s="258">
        <v>1272.0</v>
      </c>
      <c r="B579" s="258">
        <v>1272.0</v>
      </c>
      <c r="C579" s="348">
        <v>577.0</v>
      </c>
      <c r="D579" s="260">
        <f>IFERROR(__xludf.DUMMYFUNCTION("if(B579&lt;=999,if(B579&lt;=99,IF(B579&lt;=9,join(,""000"",B579),join(,""00"",B579)),join(,""0"",B579)),B579)"),1272.0)</f>
        <v>1272</v>
      </c>
      <c r="E579" s="262" t="s">
        <v>1269</v>
      </c>
      <c r="F579" s="263" t="str">
        <f>vlookup(B579,'Geotagging Master All-Training '!$A$2:$C$2474,2,false)</f>
        <v>#N/A</v>
      </c>
      <c r="G579" s="349" t="s">
        <v>20</v>
      </c>
      <c r="H579" s="350"/>
    </row>
    <row r="580" hidden="1">
      <c r="A580" s="258">
        <v>1087.0</v>
      </c>
      <c r="B580" s="259">
        <v>1087.0</v>
      </c>
      <c r="C580" s="348">
        <v>578.0</v>
      </c>
      <c r="D580" s="260">
        <f>IFERROR(__xludf.DUMMYFUNCTION("if(B580&lt;=999,if(B580&lt;=99,IF(B580&lt;=9,join(,""000"",B580),join(,""00"",B580)),join(,""0"",B580)),B580)"),1087.0)</f>
        <v>1087</v>
      </c>
      <c r="E580" s="262" t="s">
        <v>1272</v>
      </c>
      <c r="F580" s="263" t="str">
        <f>vlookup(B580,'Geotagging Master All-Training '!$A$2:$C$2474,2,false)</f>
        <v>#N/A</v>
      </c>
      <c r="G580" s="349" t="s">
        <v>20</v>
      </c>
      <c r="H580" s="350" t="e">
        <v>#N/A</v>
      </c>
    </row>
    <row r="581" hidden="1">
      <c r="A581" s="258">
        <v>1043.0</v>
      </c>
      <c r="B581" s="259">
        <v>1043.0</v>
      </c>
      <c r="C581" s="348">
        <v>579.0</v>
      </c>
      <c r="D581" s="260">
        <f>IFERROR(__xludf.DUMMYFUNCTION("if(B581&lt;=999,if(B581&lt;=99,IF(B581&lt;=9,join(,""000"",B581),join(,""00"",B581)),join(,""0"",B581)),B581)"),1043.0)</f>
        <v>1043</v>
      </c>
      <c r="E581" s="262" t="s">
        <v>1274</v>
      </c>
      <c r="F581" s="263" t="str">
        <f>vlookup(B581,'Geotagging Master All-Training '!$A$2:$C$2474,2,false)</f>
        <v>#N/A</v>
      </c>
      <c r="G581" s="349" t="s">
        <v>20</v>
      </c>
      <c r="H581" s="350">
        <v>54.0</v>
      </c>
    </row>
    <row r="582" hidden="1">
      <c r="A582" s="258">
        <v>369.0</v>
      </c>
      <c r="B582" s="259">
        <v>369.0</v>
      </c>
      <c r="C582" s="348">
        <v>580.0</v>
      </c>
      <c r="D582" s="260" t="str">
        <f>IFERROR(__xludf.DUMMYFUNCTION("if(B582&lt;=999,if(B582&lt;=99,IF(B582&lt;=9,join(,""000"",B582),join(,""00"",B582)),join(,""0"",B582)),B582)"),"0369")</f>
        <v>0369</v>
      </c>
      <c r="E582" s="270" t="s">
        <v>1275</v>
      </c>
      <c r="F582" s="263" t="str">
        <f>vlookup(B582,'Geotagging Master All-Training '!$A$2:$C$2474,2,false)</f>
        <v>#N/A</v>
      </c>
      <c r="G582" s="349" t="s">
        <v>20</v>
      </c>
      <c r="H582" s="350">
        <v>16.0</v>
      </c>
    </row>
    <row r="583" hidden="1">
      <c r="A583" s="258">
        <v>410.0</v>
      </c>
      <c r="B583" s="259">
        <v>410.0</v>
      </c>
      <c r="C583" s="348">
        <v>581.0</v>
      </c>
      <c r="D583" s="260" t="str">
        <f>IFERROR(__xludf.DUMMYFUNCTION("if(B583&lt;=999,if(B583&lt;=99,IF(B583&lt;=9,join(,""000"",B583),join(,""00"",B583)),join(,""0"",B583)),B583)"),"0410")</f>
        <v>0410</v>
      </c>
      <c r="E583" s="270" t="s">
        <v>1050</v>
      </c>
      <c r="F583" s="263" t="str">
        <f>vlookup(B583,'Geotagging Master All-Training '!$A$2:$C$2474,2,false)</f>
        <v>#N/A</v>
      </c>
      <c r="G583" s="349" t="s">
        <v>20</v>
      </c>
      <c r="H583" s="350" t="s">
        <v>1051</v>
      </c>
    </row>
    <row r="584" hidden="1">
      <c r="A584" s="258">
        <v>754.0</v>
      </c>
      <c r="B584" s="259">
        <v>754.0</v>
      </c>
      <c r="C584" s="348">
        <v>582.0</v>
      </c>
      <c r="D584" s="260" t="str">
        <f>IFERROR(__xludf.DUMMYFUNCTION("if(B584&lt;=999,if(B584&lt;=99,IF(B584&lt;=9,join(,""000"",B584),join(,""00"",B584)),join(,""0"",B584)),B584)"),"0754")</f>
        <v>0754</v>
      </c>
      <c r="E584" s="270" t="s">
        <v>1277</v>
      </c>
      <c r="F584" s="263" t="str">
        <f>vlookup(B584,'Geotagging Master All-Training '!$A$2:$C$2474,2,false)</f>
        <v>#N/A</v>
      </c>
      <c r="G584" s="349" t="s">
        <v>20</v>
      </c>
      <c r="H584" s="350" t="s">
        <v>1278</v>
      </c>
    </row>
    <row r="585" hidden="1">
      <c r="A585" s="258">
        <v>913.0</v>
      </c>
      <c r="B585" s="258">
        <v>913.0</v>
      </c>
      <c r="C585" s="348">
        <v>583.0</v>
      </c>
      <c r="D585" s="260" t="str">
        <f>IFERROR(__xludf.DUMMYFUNCTION("if(B585&lt;=999,if(B585&lt;=99,IF(B585&lt;=9,join(,""000"",B585),join(,""00"",B585)),join(,""0"",B585)),B585)"),"0913")</f>
        <v>0913</v>
      </c>
      <c r="E585" s="262" t="s">
        <v>1279</v>
      </c>
      <c r="F585" s="263" t="str">
        <f>vlookup(B585,'Geotagging Master All-Training '!$A$2:$C$2474,2,false)</f>
        <v>#N/A</v>
      </c>
      <c r="G585" s="349" t="s">
        <v>20</v>
      </c>
      <c r="H585" s="350">
        <v>8000.0</v>
      </c>
    </row>
    <row r="586" hidden="1">
      <c r="A586" s="258">
        <v>670.0</v>
      </c>
      <c r="B586" s="258">
        <v>670.0</v>
      </c>
      <c r="C586" s="348">
        <v>584.0</v>
      </c>
      <c r="D586" s="260" t="str">
        <f>IFERROR(__xludf.DUMMYFUNCTION("if(B586&lt;=999,if(B586&lt;=99,IF(B586&lt;=9,join(,""000"",B586),join(,""00"",B586)),join(,""0"",B586)),B586)"),"0670")</f>
        <v>0670</v>
      </c>
      <c r="E586" s="270" t="s">
        <v>1281</v>
      </c>
      <c r="F586" s="263" t="str">
        <f>vlookup(B586,'Geotagging Master All-Training '!$A$2:$C$2474,2,false)</f>
        <v>#N/A</v>
      </c>
      <c r="G586" s="349" t="s">
        <v>20</v>
      </c>
      <c r="H586" s="350">
        <v>3666.0</v>
      </c>
    </row>
    <row r="587">
      <c r="A587" s="272">
        <v>351.0</v>
      </c>
      <c r="B587" s="272">
        <v>351.0</v>
      </c>
      <c r="C587" s="366">
        <v>34.0</v>
      </c>
      <c r="D587" s="367" t="s">
        <v>1395</v>
      </c>
      <c r="E587" s="368" t="s">
        <v>421</v>
      </c>
      <c r="F587" s="369" t="s">
        <v>1396</v>
      </c>
      <c r="G587" s="370" t="s">
        <v>35</v>
      </c>
      <c r="H587" s="352" t="s">
        <v>422</v>
      </c>
    </row>
    <row r="588" hidden="1">
      <c r="A588" s="258">
        <v>1287.0</v>
      </c>
      <c r="B588" s="258">
        <v>1287.0</v>
      </c>
      <c r="C588" s="371">
        <v>586.0</v>
      </c>
      <c r="D588" s="371">
        <f>IFERROR(__xludf.DUMMYFUNCTION("if(B588&lt;=999,if(B588&lt;=99,IF(B588&lt;=9,join(,""000"",B588),join(,""00"",B588)),join(,""0"",B588)),B588)"),1287.0)</f>
        <v>1287</v>
      </c>
      <c r="E588" s="372" t="s">
        <v>1283</v>
      </c>
      <c r="F588" s="373" t="str">
        <f>vlookup(B588,'Geotagging Master All-Training '!$A$2:$C$2474,2,false)</f>
        <v>#N/A</v>
      </c>
      <c r="G588" s="374" t="s">
        <v>20</v>
      </c>
      <c r="H588" s="266"/>
    </row>
    <row r="589" hidden="1">
      <c r="A589" s="258">
        <v>811.0</v>
      </c>
      <c r="B589" s="259">
        <v>811.0</v>
      </c>
      <c r="C589" s="260">
        <v>587.0</v>
      </c>
      <c r="D589" s="260" t="str">
        <f>IFERROR(__xludf.DUMMYFUNCTION("if(B589&lt;=999,if(B589&lt;=99,IF(B589&lt;=9,join(,""000"",B589),join(,""00"",B589)),join(,""0"",B589)),B589)"),"0811")</f>
        <v>0811</v>
      </c>
      <c r="E589" s="262" t="s">
        <v>1285</v>
      </c>
      <c r="F589" s="263" t="str">
        <f>vlookup(B589,'Geotagging Master All-Training '!$A$2:$C$2474,2,false)</f>
        <v>#N/A</v>
      </c>
      <c r="G589" s="265" t="s">
        <v>20</v>
      </c>
      <c r="H589" s="266" t="s">
        <v>1287</v>
      </c>
    </row>
    <row r="590" hidden="1">
      <c r="A590" s="272">
        <v>1046.0</v>
      </c>
      <c r="B590" s="272">
        <v>1046.0</v>
      </c>
      <c r="C590" s="273">
        <v>589.0</v>
      </c>
      <c r="D590" s="273">
        <f>IFERROR(__xludf.DUMMYFUNCTION("if(B590&lt;=999,if(B590&lt;=99,IF(B590&lt;=9,join(,""000"",B590),join(,""00"",B590)),join(,""0"",B590)),B590)"),1046.0)</f>
        <v>1046</v>
      </c>
      <c r="E590" s="304" t="s">
        <v>429</v>
      </c>
      <c r="F590" s="303" t="str">
        <f>vlookup(B590,'Geotagging Master All-Training '!$A$2:$C$2474,2,false)</f>
        <v>#N/A</v>
      </c>
      <c r="G590" s="276" t="s">
        <v>20</v>
      </c>
      <c r="H590" s="277"/>
    </row>
    <row r="591" hidden="1">
      <c r="A591" s="272">
        <v>687.0</v>
      </c>
      <c r="B591" s="272">
        <v>687.0</v>
      </c>
      <c r="C591" s="273">
        <v>111.0</v>
      </c>
      <c r="D591" s="273" t="str">
        <f>IFERROR(__xludf.DUMMYFUNCTION("if(B591&lt;=999,if(B591&lt;=99,IF(B591&lt;=9,join(,""000"",B591),join(,""00"",B591)),join(,""0"",B591)),B591)"),"0687")</f>
        <v>0687</v>
      </c>
      <c r="E591" s="304" t="s">
        <v>1339</v>
      </c>
      <c r="F591" s="303" t="str">
        <f>vlookup(B591,'Geotagging Master All-Training '!$A$2:$C$2474,2,false)</f>
        <v>#N/A</v>
      </c>
      <c r="G591" s="276" t="s">
        <v>20</v>
      </c>
      <c r="H591" s="277" t="e">
        <v>#N/A</v>
      </c>
    </row>
    <row r="592" hidden="1">
      <c r="A592" s="258">
        <v>220.0</v>
      </c>
      <c r="B592" s="258">
        <v>220.0</v>
      </c>
      <c r="C592" s="260">
        <v>590.0</v>
      </c>
      <c r="D592" s="260" t="str">
        <f>IFERROR(__xludf.DUMMYFUNCTION("if(B592&lt;=999,if(B592&lt;=99,IF(B592&lt;=9,join(,""000"",B592),join(,""00"",B592)),join(,""0"",B592)),B592)"),"0220")</f>
        <v>0220</v>
      </c>
      <c r="E592" s="262" t="s">
        <v>1290</v>
      </c>
      <c r="F592" s="263" t="str">
        <f>vlookup(B592,'Geotagging Master All-Training '!$A$2:$C$2474,2,false)</f>
        <v>#N/A</v>
      </c>
      <c r="G592" s="265" t="s">
        <v>20</v>
      </c>
      <c r="H592" s="266">
        <v>25001.0</v>
      </c>
    </row>
    <row r="593" hidden="1">
      <c r="A593" s="258">
        <v>37.0</v>
      </c>
      <c r="B593" s="258">
        <v>37.0</v>
      </c>
      <c r="C593" s="260">
        <v>591.0</v>
      </c>
      <c r="D593" s="260" t="str">
        <f>IFERROR(__xludf.DUMMYFUNCTION("if(B593&lt;=999,if(B593&lt;=99,IF(B593&lt;=9,join(,""000"",B593),join(,""00"",B593)),join(,""0"",B593)),B593)"),"0037")</f>
        <v>0037</v>
      </c>
      <c r="E593" s="262" t="s">
        <v>1292</v>
      </c>
      <c r="F593" s="263" t="str">
        <f>vlookup(B593,'Geotagging Master All-Training '!$A$2:$C$2474,2,false)</f>
        <v>#N/A</v>
      </c>
      <c r="G593" s="265" t="s">
        <v>20</v>
      </c>
      <c r="H593" s="266" t="s">
        <v>1294</v>
      </c>
    </row>
    <row r="594" hidden="1">
      <c r="A594" s="258">
        <v>723.0</v>
      </c>
      <c r="B594" s="258">
        <v>723.0</v>
      </c>
      <c r="C594" s="260">
        <v>592.0</v>
      </c>
      <c r="D594" s="260" t="str">
        <f>IFERROR(__xludf.DUMMYFUNCTION("if(B594&lt;=999,if(B594&lt;=99,IF(B594&lt;=9,join(,""000"",B594),join(,""00"",B594)),join(,""0"",B594)),B594)"),"0723")</f>
        <v>0723</v>
      </c>
      <c r="E594" s="262" t="s">
        <v>1295</v>
      </c>
      <c r="F594" s="263" t="str">
        <f>vlookup(B594,'Geotagging Master All-Training '!$A$2:$C$2474,2,false)</f>
        <v>#N/A</v>
      </c>
      <c r="G594" s="265" t="s">
        <v>20</v>
      </c>
      <c r="H594" s="266" t="e">
        <v>#N/A</v>
      </c>
    </row>
    <row r="595" hidden="1">
      <c r="A595" s="258">
        <v>1064.0</v>
      </c>
      <c r="B595" s="258">
        <v>1064.0</v>
      </c>
      <c r="C595" s="330">
        <v>593.0</v>
      </c>
      <c r="D595" s="330">
        <v>1064.0</v>
      </c>
      <c r="E595" s="331" t="s">
        <v>1340</v>
      </c>
      <c r="F595" s="263" t="str">
        <f>vlookup(B595,'Geotagging Master All-Training '!$A$2:$C$2474,2,false)</f>
        <v>#N/A</v>
      </c>
      <c r="G595" s="332" t="s">
        <v>20</v>
      </c>
      <c r="H595" s="333"/>
    </row>
  </sheetData>
  <autoFilter ref="$A$5:$H$595">
    <filterColumn colId="6">
      <filters>
        <filter val="No"/>
      </filters>
    </filterColumn>
  </autoFilter>
  <customSheetViews>
    <customSheetView guid="{E011813A-1907-4E19-A9F9-B58EB77877E4}" filter="1" showAutoFilter="1">
      <autoFilter ref="$A$5:$H$595"/>
    </customSheetView>
    <customSheetView guid="{89D674A9-5E02-46F3-8EAE-C90AAEBD18CB}" filter="1" showAutoFilter="1">
      <autoFilter ref="$A$5:$H$595">
        <filterColumn colId="6">
          <filters>
            <filter val="No"/>
          </filters>
        </filterColumn>
      </autoFilter>
    </customSheetView>
    <customSheetView guid="{BE7EE906-3AC6-489B-8307-8DCF78AC4CC4}" filter="1" showAutoFilter="1">
      <autoFilter ref="$A$5:$H$595">
        <filterColumn colId="6">
          <filters>
            <filter val="No"/>
          </filters>
        </filterColumn>
      </autoFilter>
    </customSheetView>
    <customSheetView guid="{83CFE988-7961-4294-A58B-6D43D804AA72}" filter="1" showAutoFilter="1">
      <autoFilter ref="$A$5:$H$595"/>
    </customSheetView>
    <customSheetView guid="{B340BCCB-2239-4F53-A7F5-8859E4CC659F}" filter="1" showAutoFilter="1">
      <autoFilter ref="$A$5:$H$595"/>
    </customSheetView>
    <customSheetView guid="{8C74C9FC-D395-430E-9425-07E8EBD06DD9}" filter="1" showAutoFilter="1">
      <autoFilter ref="$A$5:$H$595"/>
    </customSheetView>
    <customSheetView guid="{03BA606A-9EF1-488F-B5B6-5F234A109122}" filter="1" showAutoFilter="1">
      <autoFilter ref="$A$5:$H$595"/>
    </customSheetView>
    <customSheetView guid="{3244BD90-1F1B-49B1-9805-E2AEEAC5DF7E}" filter="1" showAutoFilter="1">
      <autoFilter ref="$A$5:$H$595"/>
    </customSheetView>
    <customSheetView guid="{8D321D32-C538-4F99-A133-732AA9E194E7}" filter="1" showAutoFilter="1">
      <autoFilter ref="$A$5:$H$595"/>
    </customSheetView>
    <customSheetView guid="{461316B6-17F5-406C-AD29-9E9E363CFA06}" filter="1" showAutoFilter="1">
      <autoFilter ref="$A$5:$H$595"/>
    </customSheetView>
    <customSheetView guid="{41EC89E4-EEB1-42F9-9D42-62D67780E2D1}" filter="1" showAutoFilter="1">
      <autoFilter ref="$A$5:$H$595">
        <filterColumn colId="6">
          <filters>
            <filter val="No"/>
          </filters>
        </filterColumn>
      </autoFilter>
    </customSheetView>
    <customSheetView guid="{26145B14-D411-4703-A550-BC4D66DDB855}" filter="1" showAutoFilter="1">
      <autoFilter ref="$A$5:$H$595"/>
    </customSheetView>
    <customSheetView guid="{B995BA34-E10D-40AF-AA8C-B5692B2826B5}" filter="1" showAutoFilter="1">
      <autoFilter ref="$A$5:$G$595">
        <filterColumn colId="6">
          <filters>
            <filter val="Yes"/>
          </filters>
        </filterColumn>
      </autoFilter>
    </customSheetView>
    <customSheetView guid="{3D2377A7-7B9A-4DD0-8064-B35170BE2591}" filter="1" showAutoFilter="1">
      <autoFilter ref="$A$5:$H$595"/>
    </customSheetView>
    <customSheetView guid="{F79953EE-21CA-4328-B7CE-2E5232C4758F}" filter="1" showAutoFilter="1">
      <autoFilter ref="$A$5:$H$595"/>
    </customSheetView>
    <customSheetView guid="{D0F387BE-95CD-4215-B4D7-7CB6B328D750}" filter="1" showAutoFilter="1">
      <autoFilter ref="$A$5:$H$595"/>
    </customSheetView>
    <customSheetView guid="{4B942B8B-C855-402E-B1CA-C99DA2CDE73C}" filter="1" showAutoFilter="1">
      <autoFilter ref="$A$5:$H$595"/>
    </customSheetView>
    <customSheetView guid="{55429418-C5E5-48EC-BE8C-D5FCDB9B5FF0}" filter="1" showAutoFilter="1">
      <autoFilter ref="$A$5:$H$595"/>
    </customSheetView>
    <customSheetView guid="{1C94B833-20B3-4B74-ACE6-0864EB8F8213}" filter="1" showAutoFilter="1">
      <autoFilter ref="$A$5:$H$595"/>
    </customSheetView>
    <customSheetView guid="{4CDEB16D-957F-46E0-B073-82BA58078811}" filter="1" showAutoFilter="1">
      <autoFilter ref="$A$5:$H$595"/>
    </customSheetView>
    <customSheetView guid="{29638FDE-F393-4482-95FA-94A7C29B2F6D}" filter="1" showAutoFilter="1">
      <autoFilter ref="$A$5:$H$595">
        <filterColumn colId="6">
          <filters>
            <filter val="No"/>
          </filters>
        </filterColumn>
      </autoFilter>
    </customSheetView>
    <customSheetView guid="{B8F91280-5839-4824-9837-B33C2803B9C9}" filter="1" showAutoFilter="1">
      <autoFilter ref="$A$5:$H$595"/>
    </customSheetView>
    <customSheetView guid="{59693195-0373-46FB-A9CA-38C62EF18CBE}" filter="1" showAutoFilter="1">
      <autoFilter ref="$A$5:$H$595"/>
    </customSheetView>
  </customSheetViews>
  <dataValidations>
    <dataValidation type="list" allowBlank="1" sqref="G6:G595">
      <formula1>"Yes,No"</formula1>
    </dataValidation>
  </dataValidation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28.25"/>
  </cols>
  <sheetData>
    <row r="1">
      <c r="B1" s="375"/>
    </row>
    <row r="2" hidden="1"/>
    <row r="3"/>
    <row r="4"/>
    <row r="5">
      <c r="B5" s="375"/>
    </row>
    <row r="6">
      <c r="B6" s="375"/>
    </row>
    <row r="7">
      <c r="B7" s="375"/>
    </row>
    <row r="8">
      <c r="B8" s="375"/>
    </row>
    <row r="9">
      <c r="B9" s="375"/>
    </row>
    <row r="10">
      <c r="B10" s="375"/>
    </row>
    <row r="11">
      <c r="B11" s="375"/>
    </row>
    <row r="12">
      <c r="B12" s="375"/>
    </row>
    <row r="13">
      <c r="B13" s="375"/>
    </row>
    <row r="14">
      <c r="B14" s="375"/>
    </row>
    <row r="15">
      <c r="B15" s="375"/>
    </row>
    <row r="16">
      <c r="B16" s="375"/>
    </row>
    <row r="17">
      <c r="B17" s="375"/>
    </row>
    <row r="18">
      <c r="B18" s="375"/>
    </row>
    <row r="19">
      <c r="B19" s="375"/>
    </row>
    <row r="20">
      <c r="B20" s="375"/>
    </row>
    <row r="21">
      <c r="B21" s="375"/>
    </row>
    <row r="22">
      <c r="B22" s="375"/>
    </row>
    <row r="23">
      <c r="B23" s="375"/>
    </row>
    <row r="24">
      <c r="B24" s="375"/>
    </row>
    <row r="25">
      <c r="B25" s="375"/>
    </row>
    <row r="26">
      <c r="B26" s="375"/>
    </row>
    <row r="27">
      <c r="B27" s="375"/>
    </row>
    <row r="28">
      <c r="B28" s="375"/>
    </row>
    <row r="29">
      <c r="B29" s="375"/>
    </row>
    <row r="30">
      <c r="B30" s="375"/>
    </row>
    <row r="31">
      <c r="B31" s="375"/>
    </row>
    <row r="32">
      <c r="B32" s="375"/>
    </row>
    <row r="33">
      <c r="B33" s="375"/>
    </row>
    <row r="34">
      <c r="B34" s="375"/>
    </row>
    <row r="35">
      <c r="B35" s="375"/>
    </row>
    <row r="36">
      <c r="B36" s="375"/>
    </row>
    <row r="37">
      <c r="B37" s="375"/>
    </row>
    <row r="38">
      <c r="B38" s="375"/>
    </row>
    <row r="39">
      <c r="B39" s="375"/>
    </row>
    <row r="40">
      <c r="B40" s="375"/>
    </row>
    <row r="41">
      <c r="B41" s="375"/>
    </row>
    <row r="42">
      <c r="B42" s="375"/>
    </row>
    <row r="43">
      <c r="B43" s="375"/>
    </row>
    <row r="44">
      <c r="B44" s="375"/>
    </row>
    <row r="45">
      <c r="B45" s="375"/>
    </row>
    <row r="46">
      <c r="B46" s="375"/>
    </row>
    <row r="47">
      <c r="B47" s="375"/>
    </row>
    <row r="48">
      <c r="B48" s="375"/>
    </row>
    <row r="49">
      <c r="B49" s="375"/>
    </row>
    <row r="50">
      <c r="B50" s="375"/>
    </row>
    <row r="51">
      <c r="B51" s="375"/>
    </row>
    <row r="52">
      <c r="B52" s="375"/>
    </row>
    <row r="53">
      <c r="B53" s="375"/>
    </row>
    <row r="54">
      <c r="B54" s="375"/>
    </row>
    <row r="55">
      <c r="B55" s="375"/>
    </row>
    <row r="56">
      <c r="B56" s="375"/>
    </row>
    <row r="57">
      <c r="B57" s="375"/>
    </row>
    <row r="58">
      <c r="B58" s="375"/>
    </row>
    <row r="59">
      <c r="B59" s="375"/>
    </row>
    <row r="60">
      <c r="B60" s="375"/>
    </row>
    <row r="61">
      <c r="B61" s="375"/>
    </row>
    <row r="62">
      <c r="B62" s="375"/>
    </row>
    <row r="63">
      <c r="B63" s="375"/>
    </row>
    <row r="64">
      <c r="B64" s="375"/>
    </row>
    <row r="65">
      <c r="B65" s="375"/>
    </row>
    <row r="66">
      <c r="B66" s="375"/>
    </row>
    <row r="67">
      <c r="B67" s="375"/>
    </row>
    <row r="68">
      <c r="B68" s="375"/>
    </row>
    <row r="69">
      <c r="B69" s="375"/>
    </row>
    <row r="70">
      <c r="B70" s="375"/>
    </row>
    <row r="71">
      <c r="B71" s="375"/>
    </row>
    <row r="72">
      <c r="B72" s="375"/>
    </row>
    <row r="73">
      <c r="B73" s="375"/>
    </row>
    <row r="74">
      <c r="B74" s="375"/>
    </row>
    <row r="75">
      <c r="B75" s="375"/>
    </row>
    <row r="76">
      <c r="B76" s="375"/>
    </row>
    <row r="77">
      <c r="B77" s="375"/>
    </row>
    <row r="78">
      <c r="B78" s="375"/>
    </row>
    <row r="79">
      <c r="B79" s="375"/>
    </row>
    <row r="80">
      <c r="B80" s="375"/>
    </row>
    <row r="81">
      <c r="B81" s="375"/>
    </row>
    <row r="82">
      <c r="B82" s="375"/>
    </row>
    <row r="83">
      <c r="B83" s="375"/>
    </row>
    <row r="84">
      <c r="B84" s="375"/>
    </row>
    <row r="85">
      <c r="B85" s="375"/>
    </row>
    <row r="86">
      <c r="B86" s="375"/>
    </row>
    <row r="87">
      <c r="B87" s="375"/>
    </row>
    <row r="88">
      <c r="B88" s="375"/>
    </row>
    <row r="89">
      <c r="B89" s="375"/>
    </row>
    <row r="90">
      <c r="B90" s="375"/>
    </row>
    <row r="91">
      <c r="B91" s="375"/>
    </row>
    <row r="92">
      <c r="B92" s="375"/>
    </row>
    <row r="93">
      <c r="B93" s="375"/>
    </row>
    <row r="94">
      <c r="B94" s="375"/>
    </row>
    <row r="95">
      <c r="B95" s="375"/>
    </row>
    <row r="96">
      <c r="B96" s="375"/>
    </row>
    <row r="97">
      <c r="B97" s="375"/>
    </row>
    <row r="98">
      <c r="B98" s="375"/>
    </row>
    <row r="99">
      <c r="B99" s="375"/>
    </row>
    <row r="100">
      <c r="B100" s="375"/>
    </row>
    <row r="101">
      <c r="B101" s="375"/>
    </row>
    <row r="102">
      <c r="B102" s="375"/>
    </row>
    <row r="103">
      <c r="B103" s="375"/>
    </row>
    <row r="104">
      <c r="B104" s="375"/>
    </row>
    <row r="105">
      <c r="B105" s="375"/>
    </row>
    <row r="106">
      <c r="B106" s="375"/>
    </row>
    <row r="107">
      <c r="B107" s="375"/>
    </row>
    <row r="108">
      <c r="B108" s="375"/>
    </row>
    <row r="109">
      <c r="B109" s="375"/>
    </row>
    <row r="110">
      <c r="B110" s="375"/>
    </row>
    <row r="111">
      <c r="B111" s="375"/>
    </row>
    <row r="112">
      <c r="B112" s="375"/>
    </row>
    <row r="113">
      <c r="B113" s="375"/>
    </row>
    <row r="114">
      <c r="B114" s="375"/>
    </row>
    <row r="115">
      <c r="B115" s="375"/>
    </row>
    <row r="116">
      <c r="B116" s="375"/>
    </row>
    <row r="117">
      <c r="B117" s="375"/>
    </row>
    <row r="118">
      <c r="B118" s="375"/>
    </row>
    <row r="119">
      <c r="B119" s="375"/>
    </row>
    <row r="120">
      <c r="B120" s="375"/>
    </row>
    <row r="121">
      <c r="B121" s="375"/>
    </row>
    <row r="122">
      <c r="B122" s="375"/>
    </row>
    <row r="123">
      <c r="B123" s="375"/>
    </row>
    <row r="124">
      <c r="B124" s="375"/>
    </row>
    <row r="125">
      <c r="B125" s="375"/>
    </row>
    <row r="126">
      <c r="B126" s="375"/>
    </row>
    <row r="127">
      <c r="B127" s="375"/>
    </row>
    <row r="128">
      <c r="B128" s="375"/>
    </row>
    <row r="129">
      <c r="B129" s="375"/>
    </row>
    <row r="130">
      <c r="B130" s="375"/>
    </row>
    <row r="131">
      <c r="B131" s="375"/>
    </row>
    <row r="132">
      <c r="B132" s="375"/>
    </row>
    <row r="133">
      <c r="B133" s="375"/>
    </row>
    <row r="134">
      <c r="B134" s="375"/>
    </row>
    <row r="135">
      <c r="B135" s="375"/>
    </row>
    <row r="136">
      <c r="B136" s="375"/>
    </row>
    <row r="137">
      <c r="B137" s="375"/>
    </row>
    <row r="138">
      <c r="B138" s="375"/>
    </row>
    <row r="139">
      <c r="B139" s="375"/>
    </row>
    <row r="140">
      <c r="B140" s="375"/>
    </row>
    <row r="141">
      <c r="B141" s="375"/>
    </row>
    <row r="142">
      <c r="B142" s="375"/>
    </row>
    <row r="143">
      <c r="B143" s="375"/>
    </row>
    <row r="144">
      <c r="B144" s="375"/>
    </row>
    <row r="145">
      <c r="B145" s="375"/>
    </row>
    <row r="146">
      <c r="B146" s="375"/>
    </row>
    <row r="147">
      <c r="B147" s="375"/>
    </row>
    <row r="148">
      <c r="B148" s="375"/>
    </row>
    <row r="149">
      <c r="B149" s="375"/>
    </row>
    <row r="150">
      <c r="B150" s="375"/>
    </row>
    <row r="151">
      <c r="B151" s="375"/>
    </row>
    <row r="152">
      <c r="B152" s="375"/>
    </row>
    <row r="153">
      <c r="B153" s="375"/>
    </row>
    <row r="154">
      <c r="B154" s="375"/>
    </row>
    <row r="155">
      <c r="B155" s="375"/>
    </row>
    <row r="156">
      <c r="B156" s="375"/>
    </row>
    <row r="157">
      <c r="B157" s="375"/>
    </row>
    <row r="158">
      <c r="B158" s="375"/>
    </row>
    <row r="159">
      <c r="B159" s="375"/>
    </row>
    <row r="160">
      <c r="B160" s="375"/>
    </row>
    <row r="161">
      <c r="B161" s="375"/>
    </row>
    <row r="162">
      <c r="B162" s="375"/>
    </row>
    <row r="163">
      <c r="B163" s="375"/>
    </row>
    <row r="164">
      <c r="B164" s="375"/>
    </row>
    <row r="165">
      <c r="B165" s="375"/>
    </row>
    <row r="166">
      <c r="B166" s="375"/>
    </row>
    <row r="167">
      <c r="B167" s="375"/>
    </row>
    <row r="168">
      <c r="B168" s="375"/>
    </row>
    <row r="169">
      <c r="B169" s="375"/>
    </row>
    <row r="170">
      <c r="B170" s="375"/>
    </row>
    <row r="171">
      <c r="B171" s="375"/>
    </row>
    <row r="172">
      <c r="B172" s="375"/>
    </row>
    <row r="173">
      <c r="B173" s="375"/>
    </row>
    <row r="174">
      <c r="B174" s="375"/>
    </row>
    <row r="175">
      <c r="B175" s="375"/>
    </row>
    <row r="176">
      <c r="B176" s="375"/>
    </row>
    <row r="177">
      <c r="B177" s="375"/>
    </row>
    <row r="178">
      <c r="B178" s="375"/>
    </row>
    <row r="179">
      <c r="B179" s="375"/>
    </row>
    <row r="180">
      <c r="B180" s="375"/>
    </row>
    <row r="181">
      <c r="B181" s="375"/>
    </row>
    <row r="182">
      <c r="B182" s="375"/>
    </row>
    <row r="183">
      <c r="B183" s="375"/>
    </row>
    <row r="184">
      <c r="B184" s="375"/>
    </row>
    <row r="185">
      <c r="B185" s="375"/>
    </row>
    <row r="186">
      <c r="B186" s="375"/>
    </row>
    <row r="187">
      <c r="B187" s="375"/>
    </row>
    <row r="188">
      <c r="B188" s="375"/>
    </row>
    <row r="189">
      <c r="B189" s="375"/>
    </row>
    <row r="190">
      <c r="B190" s="375"/>
    </row>
    <row r="191">
      <c r="B191" s="375"/>
    </row>
    <row r="192">
      <c r="B192" s="375"/>
    </row>
    <row r="193">
      <c r="B193" s="375"/>
    </row>
    <row r="194">
      <c r="B194" s="375"/>
    </row>
    <row r="195">
      <c r="B195" s="375"/>
    </row>
    <row r="196">
      <c r="B196" s="375"/>
    </row>
    <row r="197">
      <c r="B197" s="375"/>
    </row>
    <row r="198">
      <c r="B198" s="375"/>
    </row>
    <row r="199">
      <c r="B199" s="375"/>
    </row>
    <row r="200">
      <c r="B200" s="375"/>
    </row>
    <row r="201">
      <c r="B201" s="375"/>
    </row>
    <row r="202">
      <c r="B202" s="375"/>
    </row>
    <row r="203">
      <c r="B203" s="375"/>
    </row>
    <row r="204">
      <c r="B204" s="375"/>
    </row>
    <row r="205">
      <c r="B205" s="375"/>
    </row>
    <row r="206">
      <c r="B206" s="375"/>
    </row>
    <row r="207">
      <c r="B207" s="375"/>
    </row>
    <row r="208">
      <c r="B208" s="375"/>
    </row>
    <row r="209">
      <c r="B209" s="375"/>
    </row>
    <row r="210">
      <c r="B210" s="375"/>
    </row>
    <row r="211">
      <c r="B211" s="375"/>
    </row>
    <row r="212">
      <c r="B212" s="375"/>
    </row>
    <row r="213">
      <c r="B213" s="375"/>
    </row>
    <row r="214">
      <c r="B214" s="375"/>
    </row>
    <row r="215">
      <c r="B215" s="375"/>
    </row>
    <row r="216">
      <c r="B216" s="375"/>
    </row>
    <row r="217">
      <c r="B217" s="375"/>
    </row>
    <row r="218">
      <c r="B218" s="375"/>
    </row>
    <row r="219">
      <c r="B219" s="375"/>
    </row>
    <row r="220">
      <c r="B220" s="375"/>
    </row>
    <row r="221">
      <c r="B221" s="375"/>
    </row>
    <row r="222">
      <c r="B222" s="375"/>
    </row>
    <row r="223">
      <c r="B223" s="375"/>
    </row>
    <row r="224">
      <c r="B224" s="375"/>
    </row>
    <row r="225">
      <c r="B225" s="375"/>
    </row>
    <row r="226">
      <c r="B226" s="375"/>
    </row>
    <row r="227">
      <c r="B227" s="375"/>
    </row>
    <row r="228">
      <c r="B228" s="375"/>
    </row>
    <row r="229">
      <c r="B229" s="375"/>
    </row>
    <row r="230">
      <c r="B230" s="375"/>
    </row>
    <row r="231">
      <c r="B231" s="375"/>
    </row>
    <row r="232">
      <c r="B232" s="375"/>
    </row>
    <row r="233">
      <c r="B233" s="375"/>
    </row>
    <row r="234">
      <c r="B234" s="375"/>
    </row>
    <row r="235">
      <c r="B235" s="375"/>
    </row>
    <row r="236">
      <c r="B236" s="375"/>
    </row>
    <row r="237">
      <c r="B237" s="375"/>
    </row>
    <row r="238">
      <c r="B238" s="375"/>
    </row>
    <row r="239">
      <c r="B239" s="375"/>
    </row>
    <row r="240">
      <c r="B240" s="375"/>
    </row>
    <row r="241">
      <c r="B241" s="375"/>
    </row>
    <row r="242">
      <c r="B242" s="375"/>
    </row>
    <row r="243">
      <c r="B243" s="375"/>
    </row>
    <row r="244">
      <c r="B244" s="375"/>
    </row>
    <row r="245">
      <c r="B245" s="375"/>
    </row>
    <row r="246">
      <c r="B246" s="375"/>
    </row>
    <row r="247">
      <c r="B247" s="375"/>
    </row>
    <row r="248">
      <c r="B248" s="375"/>
    </row>
    <row r="249">
      <c r="B249" s="375"/>
    </row>
    <row r="250">
      <c r="B250" s="375"/>
    </row>
    <row r="251">
      <c r="B251" s="375"/>
    </row>
    <row r="252">
      <c r="B252" s="375"/>
    </row>
    <row r="253">
      <c r="B253" s="375"/>
    </row>
    <row r="254">
      <c r="B254" s="375"/>
    </row>
    <row r="255">
      <c r="B255" s="375"/>
    </row>
    <row r="256">
      <c r="B256" s="375"/>
    </row>
    <row r="257">
      <c r="B257" s="375"/>
    </row>
    <row r="258">
      <c r="B258" s="375"/>
    </row>
    <row r="259">
      <c r="B259" s="375"/>
    </row>
    <row r="260">
      <c r="B260" s="375"/>
    </row>
    <row r="261">
      <c r="B261" s="375"/>
    </row>
    <row r="262">
      <c r="B262" s="375"/>
    </row>
    <row r="263">
      <c r="B263" s="375"/>
    </row>
    <row r="264">
      <c r="B264" s="375"/>
    </row>
    <row r="265">
      <c r="B265" s="375"/>
    </row>
    <row r="266">
      <c r="B266" s="375"/>
    </row>
    <row r="267">
      <c r="B267" s="375"/>
    </row>
    <row r="268">
      <c r="B268" s="375"/>
    </row>
    <row r="269">
      <c r="B269" s="375"/>
    </row>
    <row r="270">
      <c r="B270" s="375"/>
    </row>
    <row r="271">
      <c r="B271" s="375"/>
    </row>
    <row r="272">
      <c r="B272" s="375"/>
    </row>
    <row r="273">
      <c r="B273" s="375"/>
    </row>
    <row r="274">
      <c r="B274" s="375"/>
    </row>
    <row r="275">
      <c r="B275" s="375"/>
    </row>
    <row r="276">
      <c r="B276" s="375"/>
    </row>
    <row r="277">
      <c r="B277" s="375"/>
    </row>
    <row r="278">
      <c r="B278" s="375"/>
    </row>
    <row r="279">
      <c r="B279" s="375"/>
    </row>
    <row r="280">
      <c r="B280" s="375"/>
    </row>
    <row r="281">
      <c r="B281" s="375"/>
    </row>
    <row r="282">
      <c r="B282" s="375"/>
    </row>
    <row r="283">
      <c r="B283" s="375"/>
    </row>
    <row r="284">
      <c r="B284" s="375"/>
    </row>
    <row r="285">
      <c r="B285" s="375"/>
    </row>
    <row r="286">
      <c r="B286" s="375"/>
    </row>
    <row r="287">
      <c r="B287" s="375"/>
    </row>
    <row r="288">
      <c r="B288" s="375"/>
    </row>
    <row r="289">
      <c r="B289" s="375"/>
    </row>
    <row r="290">
      <c r="B290" s="375"/>
    </row>
    <row r="291">
      <c r="B291" s="375"/>
    </row>
    <row r="292">
      <c r="B292" s="375"/>
    </row>
    <row r="293">
      <c r="B293" s="375"/>
    </row>
    <row r="294">
      <c r="B294" s="375"/>
    </row>
    <row r="295">
      <c r="B295" s="375"/>
    </row>
    <row r="296">
      <c r="B296" s="375"/>
    </row>
    <row r="297">
      <c r="B297" s="375"/>
    </row>
    <row r="298">
      <c r="B298" s="375"/>
    </row>
    <row r="299">
      <c r="B299" s="375"/>
    </row>
    <row r="300">
      <c r="B300" s="375"/>
    </row>
    <row r="301">
      <c r="B301" s="375"/>
    </row>
    <row r="302">
      <c r="B302" s="375"/>
    </row>
    <row r="303">
      <c r="B303" s="375"/>
    </row>
    <row r="304">
      <c r="B304" s="375"/>
    </row>
    <row r="305">
      <c r="B305" s="375"/>
    </row>
    <row r="306">
      <c r="B306" s="375"/>
    </row>
    <row r="307">
      <c r="B307" s="375"/>
    </row>
    <row r="308">
      <c r="B308" s="375"/>
    </row>
    <row r="309">
      <c r="B309" s="375"/>
    </row>
    <row r="310">
      <c r="B310" s="375"/>
    </row>
    <row r="311">
      <c r="B311" s="375"/>
    </row>
    <row r="312">
      <c r="B312" s="375"/>
    </row>
    <row r="313">
      <c r="B313" s="375"/>
    </row>
    <row r="314">
      <c r="B314" s="375"/>
    </row>
    <row r="315">
      <c r="B315" s="375"/>
    </row>
    <row r="316">
      <c r="B316" s="375"/>
    </row>
    <row r="317">
      <c r="B317" s="375"/>
    </row>
    <row r="318">
      <c r="B318" s="375"/>
    </row>
    <row r="319">
      <c r="B319" s="375"/>
    </row>
    <row r="320">
      <c r="B320" s="375"/>
    </row>
    <row r="321">
      <c r="B321" s="375"/>
    </row>
    <row r="322">
      <c r="B322" s="375"/>
    </row>
    <row r="323">
      <c r="B323" s="375"/>
    </row>
    <row r="324">
      <c r="B324" s="375"/>
    </row>
    <row r="325">
      <c r="B325" s="375"/>
    </row>
    <row r="326">
      <c r="B326" s="375"/>
    </row>
    <row r="327">
      <c r="B327" s="375"/>
    </row>
    <row r="328">
      <c r="B328" s="375"/>
    </row>
    <row r="329">
      <c r="B329" s="375"/>
    </row>
    <row r="330">
      <c r="B330" s="375"/>
    </row>
    <row r="331">
      <c r="B331" s="375"/>
    </row>
    <row r="332">
      <c r="B332" s="375"/>
    </row>
    <row r="333">
      <c r="B333" s="375"/>
    </row>
    <row r="334">
      <c r="B334" s="375"/>
    </row>
    <row r="335">
      <c r="B335" s="375"/>
    </row>
    <row r="336">
      <c r="B336" s="375"/>
    </row>
    <row r="337">
      <c r="B337" s="375"/>
    </row>
    <row r="338">
      <c r="B338" s="375"/>
    </row>
    <row r="339">
      <c r="B339" s="375"/>
    </row>
    <row r="340">
      <c r="B340" s="375"/>
    </row>
    <row r="341">
      <c r="B341" s="375"/>
    </row>
    <row r="342">
      <c r="B342" s="375"/>
    </row>
    <row r="343">
      <c r="B343" s="375"/>
    </row>
    <row r="344">
      <c r="B344" s="375"/>
    </row>
    <row r="345">
      <c r="B345" s="375"/>
    </row>
    <row r="346">
      <c r="B346" s="375"/>
    </row>
    <row r="347">
      <c r="B347" s="375"/>
    </row>
    <row r="348">
      <c r="B348" s="375"/>
    </row>
    <row r="349">
      <c r="B349" s="375"/>
    </row>
    <row r="350">
      <c r="B350" s="375"/>
    </row>
    <row r="351">
      <c r="B351" s="375"/>
    </row>
    <row r="352">
      <c r="B352" s="375"/>
    </row>
    <row r="353">
      <c r="B353" s="375"/>
    </row>
    <row r="354">
      <c r="B354" s="375"/>
    </row>
    <row r="355">
      <c r="B355" s="375"/>
    </row>
    <row r="356">
      <c r="B356" s="375"/>
    </row>
    <row r="357">
      <c r="B357" s="375"/>
    </row>
    <row r="358">
      <c r="B358" s="375"/>
    </row>
    <row r="359">
      <c r="B359" s="375"/>
    </row>
    <row r="360">
      <c r="B360" s="375"/>
    </row>
    <row r="361">
      <c r="B361" s="375"/>
    </row>
    <row r="362">
      <c r="B362" s="375"/>
    </row>
    <row r="363">
      <c r="B363" s="375"/>
    </row>
    <row r="364">
      <c r="B364" s="375"/>
    </row>
    <row r="365">
      <c r="B365" s="375"/>
    </row>
    <row r="366">
      <c r="B366" s="375"/>
    </row>
    <row r="367">
      <c r="B367" s="375"/>
    </row>
    <row r="368">
      <c r="B368" s="375"/>
    </row>
    <row r="369">
      <c r="B369" s="375"/>
    </row>
    <row r="370">
      <c r="B370" s="375"/>
    </row>
    <row r="371">
      <c r="B371" s="375"/>
    </row>
    <row r="372">
      <c r="B372" s="375"/>
    </row>
    <row r="373">
      <c r="B373" s="375"/>
    </row>
    <row r="374">
      <c r="B374" s="375"/>
    </row>
    <row r="375">
      <c r="B375" s="375"/>
    </row>
    <row r="376">
      <c r="B376" s="375"/>
    </row>
    <row r="377">
      <c r="B377" s="375"/>
    </row>
    <row r="378">
      <c r="B378" s="375"/>
    </row>
    <row r="379">
      <c r="B379" s="375"/>
    </row>
    <row r="380">
      <c r="B380" s="375"/>
    </row>
    <row r="381">
      <c r="B381" s="375"/>
    </row>
    <row r="382">
      <c r="B382" s="375"/>
    </row>
    <row r="383">
      <c r="B383" s="375"/>
    </row>
    <row r="384">
      <c r="B384" s="375"/>
    </row>
    <row r="385">
      <c r="B385" s="375"/>
    </row>
    <row r="386">
      <c r="B386" s="375"/>
    </row>
    <row r="387">
      <c r="B387" s="375"/>
    </row>
    <row r="388">
      <c r="B388" s="375"/>
    </row>
    <row r="389">
      <c r="B389" s="375"/>
    </row>
    <row r="390">
      <c r="B390" s="375"/>
    </row>
    <row r="391">
      <c r="B391" s="375"/>
    </row>
    <row r="392">
      <c r="B392" s="375"/>
    </row>
    <row r="393">
      <c r="B393" s="375"/>
    </row>
    <row r="394">
      <c r="B394" s="375"/>
    </row>
    <row r="395">
      <c r="B395" s="375"/>
    </row>
    <row r="396">
      <c r="B396" s="375"/>
    </row>
    <row r="397">
      <c r="B397" s="375"/>
    </row>
    <row r="398">
      <c r="B398" s="375"/>
    </row>
    <row r="399">
      <c r="B399" s="375"/>
    </row>
    <row r="400">
      <c r="B400" s="375"/>
    </row>
    <row r="401">
      <c r="B401" s="375"/>
    </row>
    <row r="402">
      <c r="B402" s="375"/>
    </row>
    <row r="403">
      <c r="B403" s="375"/>
    </row>
    <row r="404">
      <c r="B404" s="375"/>
    </row>
    <row r="405">
      <c r="B405" s="375"/>
    </row>
    <row r="406">
      <c r="B406" s="375"/>
    </row>
    <row r="407">
      <c r="B407" s="375"/>
    </row>
    <row r="408">
      <c r="B408" s="375"/>
    </row>
    <row r="409">
      <c r="B409" s="375"/>
    </row>
    <row r="410">
      <c r="B410" s="375"/>
    </row>
    <row r="411">
      <c r="B411" s="375"/>
    </row>
    <row r="412">
      <c r="B412" s="375"/>
    </row>
    <row r="413">
      <c r="B413" s="375"/>
    </row>
    <row r="414">
      <c r="B414" s="375"/>
    </row>
    <row r="415">
      <c r="B415" s="375"/>
    </row>
    <row r="416">
      <c r="B416" s="375"/>
    </row>
    <row r="417">
      <c r="B417" s="375"/>
    </row>
    <row r="418">
      <c r="B418" s="375"/>
    </row>
    <row r="419">
      <c r="B419" s="375"/>
    </row>
    <row r="420">
      <c r="B420" s="375"/>
    </row>
    <row r="421">
      <c r="B421" s="375"/>
    </row>
    <row r="422">
      <c r="B422" s="375"/>
    </row>
    <row r="423">
      <c r="B423" s="375"/>
    </row>
    <row r="424">
      <c r="B424" s="375"/>
    </row>
    <row r="425">
      <c r="B425" s="375"/>
    </row>
    <row r="426">
      <c r="B426" s="375"/>
    </row>
    <row r="427">
      <c r="B427" s="375"/>
    </row>
    <row r="428">
      <c r="B428" s="375"/>
    </row>
    <row r="429">
      <c r="B429" s="375"/>
    </row>
    <row r="430">
      <c r="B430" s="375"/>
    </row>
    <row r="431">
      <c r="B431" s="375"/>
    </row>
    <row r="432">
      <c r="B432" s="375"/>
    </row>
    <row r="433">
      <c r="B433" s="375"/>
    </row>
    <row r="434">
      <c r="B434" s="375"/>
    </row>
    <row r="435">
      <c r="B435" s="375"/>
    </row>
    <row r="436">
      <c r="B436" s="375"/>
    </row>
    <row r="437">
      <c r="B437" s="375"/>
    </row>
    <row r="438">
      <c r="B438" s="375"/>
    </row>
    <row r="439">
      <c r="B439" s="375"/>
    </row>
    <row r="440">
      <c r="B440" s="375"/>
    </row>
    <row r="441">
      <c r="B441" s="375"/>
    </row>
    <row r="442">
      <c r="B442" s="375"/>
    </row>
    <row r="443">
      <c r="B443" s="375"/>
    </row>
    <row r="444">
      <c r="B444" s="375"/>
    </row>
    <row r="445">
      <c r="B445" s="375"/>
    </row>
    <row r="446">
      <c r="B446" s="375"/>
    </row>
    <row r="447">
      <c r="B447" s="375"/>
    </row>
    <row r="448">
      <c r="B448" s="375"/>
    </row>
    <row r="449">
      <c r="B449" s="375"/>
    </row>
    <row r="450">
      <c r="B450" s="375"/>
    </row>
    <row r="451">
      <c r="B451" s="375"/>
    </row>
    <row r="452">
      <c r="B452" s="375"/>
    </row>
    <row r="453">
      <c r="B453" s="375"/>
    </row>
    <row r="454">
      <c r="B454" s="375"/>
    </row>
    <row r="455">
      <c r="B455" s="375"/>
    </row>
    <row r="456">
      <c r="B456" s="375"/>
    </row>
    <row r="457">
      <c r="B457" s="375"/>
    </row>
    <row r="458">
      <c r="B458" s="375"/>
    </row>
    <row r="459">
      <c r="B459" s="375"/>
    </row>
    <row r="460">
      <c r="B460" s="375"/>
    </row>
    <row r="461">
      <c r="B461" s="375"/>
    </row>
    <row r="462">
      <c r="B462" s="375"/>
    </row>
    <row r="463">
      <c r="B463" s="375"/>
    </row>
    <row r="464">
      <c r="B464" s="375"/>
    </row>
    <row r="465">
      <c r="B465" s="375"/>
    </row>
    <row r="466">
      <c r="B466" s="375"/>
    </row>
    <row r="467">
      <c r="B467" s="375"/>
    </row>
    <row r="468">
      <c r="B468" s="375"/>
    </row>
    <row r="469">
      <c r="B469" s="375"/>
    </row>
    <row r="470">
      <c r="B470" s="375"/>
    </row>
    <row r="471">
      <c r="B471" s="375"/>
    </row>
    <row r="472">
      <c r="B472" s="375"/>
    </row>
    <row r="473">
      <c r="B473" s="375"/>
    </row>
    <row r="474">
      <c r="B474" s="375"/>
    </row>
    <row r="475">
      <c r="B475" s="375"/>
    </row>
    <row r="476">
      <c r="B476" s="375"/>
    </row>
    <row r="477">
      <c r="B477" s="375"/>
    </row>
    <row r="478">
      <c r="B478" s="375"/>
    </row>
    <row r="479">
      <c r="B479" s="375"/>
    </row>
    <row r="480">
      <c r="B480" s="375"/>
    </row>
    <row r="481">
      <c r="B481" s="375"/>
    </row>
    <row r="482">
      <c r="B482" s="375"/>
    </row>
    <row r="483">
      <c r="B483" s="375"/>
    </row>
    <row r="484">
      <c r="B484" s="375"/>
    </row>
    <row r="485">
      <c r="B485" s="375"/>
    </row>
    <row r="486">
      <c r="B486" s="375"/>
    </row>
    <row r="487">
      <c r="B487" s="375"/>
    </row>
    <row r="488">
      <c r="B488" s="375"/>
    </row>
    <row r="489">
      <c r="B489" s="375"/>
    </row>
    <row r="490">
      <c r="B490" s="375"/>
    </row>
    <row r="491">
      <c r="B491" s="375"/>
    </row>
    <row r="492">
      <c r="B492" s="375"/>
    </row>
    <row r="493">
      <c r="B493" s="375"/>
    </row>
    <row r="494">
      <c r="B494" s="375"/>
    </row>
    <row r="495">
      <c r="B495" s="375"/>
    </row>
    <row r="496">
      <c r="B496" s="375"/>
    </row>
    <row r="497">
      <c r="B497" s="375"/>
    </row>
    <row r="498">
      <c r="B498" s="375"/>
    </row>
    <row r="499">
      <c r="B499" s="375"/>
    </row>
    <row r="500">
      <c r="B500" s="375"/>
    </row>
    <row r="501">
      <c r="B501" s="375"/>
    </row>
    <row r="502">
      <c r="B502" s="375"/>
    </row>
    <row r="503">
      <c r="B503" s="375"/>
    </row>
    <row r="504">
      <c r="B504" s="375"/>
    </row>
    <row r="505">
      <c r="B505" s="375"/>
    </row>
    <row r="506">
      <c r="B506" s="375"/>
    </row>
    <row r="507">
      <c r="B507" s="375"/>
    </row>
    <row r="508">
      <c r="B508" s="375"/>
    </row>
    <row r="509">
      <c r="B509" s="375"/>
    </row>
    <row r="510">
      <c r="B510" s="375"/>
    </row>
    <row r="511">
      <c r="B511" s="375"/>
    </row>
    <row r="512">
      <c r="B512" s="375"/>
    </row>
    <row r="513">
      <c r="B513" s="375"/>
    </row>
    <row r="514">
      <c r="B514" s="375"/>
    </row>
    <row r="515">
      <c r="B515" s="375"/>
    </row>
    <row r="516">
      <c r="B516" s="375"/>
    </row>
    <row r="517">
      <c r="B517" s="375"/>
    </row>
    <row r="518">
      <c r="B518" s="375"/>
    </row>
    <row r="519">
      <c r="B519" s="375"/>
    </row>
    <row r="520">
      <c r="B520" s="375"/>
    </row>
    <row r="521">
      <c r="B521" s="375"/>
    </row>
    <row r="522">
      <c r="B522" s="375"/>
    </row>
    <row r="523">
      <c r="B523" s="375"/>
    </row>
    <row r="524">
      <c r="B524" s="375"/>
    </row>
    <row r="525">
      <c r="B525" s="375"/>
    </row>
    <row r="526">
      <c r="B526" s="375"/>
    </row>
    <row r="527">
      <c r="B527" s="375"/>
    </row>
    <row r="528">
      <c r="B528" s="375"/>
    </row>
    <row r="529">
      <c r="B529" s="375"/>
    </row>
    <row r="530">
      <c r="B530" s="375"/>
    </row>
    <row r="531">
      <c r="B531" s="375"/>
    </row>
    <row r="532">
      <c r="B532" s="375"/>
    </row>
    <row r="533">
      <c r="B533" s="375"/>
    </row>
    <row r="534">
      <c r="B534" s="375"/>
    </row>
    <row r="535">
      <c r="B535" s="375"/>
    </row>
    <row r="536">
      <c r="B536" s="375"/>
    </row>
    <row r="537">
      <c r="B537" s="375"/>
    </row>
    <row r="538">
      <c r="B538" s="375"/>
    </row>
    <row r="539">
      <c r="B539" s="375"/>
    </row>
    <row r="540">
      <c r="B540" s="375"/>
    </row>
    <row r="541">
      <c r="B541" s="375"/>
    </row>
    <row r="542">
      <c r="B542" s="375"/>
    </row>
    <row r="543">
      <c r="B543" s="375"/>
    </row>
    <row r="544">
      <c r="B544" s="375"/>
    </row>
    <row r="545">
      <c r="B545" s="375"/>
    </row>
    <row r="546">
      <c r="B546" s="375"/>
    </row>
    <row r="547">
      <c r="B547" s="375"/>
    </row>
    <row r="548">
      <c r="B548" s="375"/>
    </row>
    <row r="549">
      <c r="B549" s="375"/>
    </row>
    <row r="550">
      <c r="B550" s="375"/>
    </row>
    <row r="551">
      <c r="B551" s="375"/>
    </row>
    <row r="552">
      <c r="B552" s="375"/>
    </row>
    <row r="553">
      <c r="B553" s="375"/>
    </row>
    <row r="554">
      <c r="B554" s="375"/>
    </row>
    <row r="555">
      <c r="B555" s="375"/>
    </row>
    <row r="556">
      <c r="B556" s="375"/>
    </row>
    <row r="557">
      <c r="B557" s="375"/>
    </row>
    <row r="558">
      <c r="B558" s="375"/>
    </row>
    <row r="559">
      <c r="B559" s="375"/>
    </row>
    <row r="560">
      <c r="B560" s="375"/>
    </row>
    <row r="561">
      <c r="B561" s="375"/>
    </row>
    <row r="562">
      <c r="B562" s="375"/>
    </row>
    <row r="563">
      <c r="B563" s="375"/>
    </row>
    <row r="564">
      <c r="B564" s="375"/>
    </row>
    <row r="565">
      <c r="B565" s="375"/>
    </row>
    <row r="566">
      <c r="B566" s="375"/>
    </row>
    <row r="567">
      <c r="B567" s="375"/>
    </row>
    <row r="568">
      <c r="B568" s="375"/>
    </row>
    <row r="569">
      <c r="B569" s="375"/>
    </row>
    <row r="570">
      <c r="B570" s="375"/>
    </row>
    <row r="571">
      <c r="B571" s="375"/>
    </row>
    <row r="572">
      <c r="B572" s="375"/>
    </row>
    <row r="573">
      <c r="B573" s="375"/>
    </row>
    <row r="574">
      <c r="B574" s="375"/>
    </row>
    <row r="575">
      <c r="B575" s="375"/>
    </row>
    <row r="576">
      <c r="B576" s="375"/>
    </row>
    <row r="577">
      <c r="B577" s="375"/>
    </row>
    <row r="578">
      <c r="B578" s="375"/>
    </row>
    <row r="579">
      <c r="B579" s="375"/>
    </row>
    <row r="580">
      <c r="B580" s="375"/>
    </row>
    <row r="581">
      <c r="B581" s="375"/>
    </row>
    <row r="582">
      <c r="B582" s="375"/>
    </row>
    <row r="583">
      <c r="B583" s="375"/>
    </row>
    <row r="584">
      <c r="B584" s="375"/>
    </row>
    <row r="585">
      <c r="B585" s="375"/>
    </row>
    <row r="586">
      <c r="B586" s="375"/>
    </row>
    <row r="587">
      <c r="B587" s="375"/>
    </row>
    <row r="588">
      <c r="B588" s="375"/>
    </row>
    <row r="589">
      <c r="B589" s="375"/>
    </row>
    <row r="590">
      <c r="B590" s="375"/>
    </row>
    <row r="591">
      <c r="B591" s="375"/>
    </row>
    <row r="592">
      <c r="B592" s="375"/>
    </row>
    <row r="593">
      <c r="B593" s="375"/>
    </row>
    <row r="594">
      <c r="B594" s="375"/>
    </row>
    <row r="595">
      <c r="B595" s="375"/>
    </row>
    <row r="596">
      <c r="B596" s="375"/>
    </row>
    <row r="597">
      <c r="B597" s="375"/>
    </row>
    <row r="598">
      <c r="B598" s="375"/>
    </row>
    <row r="599">
      <c r="B599" s="375"/>
    </row>
    <row r="600">
      <c r="B600" s="375"/>
    </row>
    <row r="601">
      <c r="B601" s="375"/>
    </row>
    <row r="602">
      <c r="B602" s="375"/>
    </row>
    <row r="603">
      <c r="B603" s="375"/>
    </row>
    <row r="604">
      <c r="B604" s="375"/>
    </row>
    <row r="605">
      <c r="B605" s="375"/>
    </row>
    <row r="606">
      <c r="B606" s="375"/>
    </row>
    <row r="607">
      <c r="B607" s="375"/>
    </row>
    <row r="608">
      <c r="B608" s="375"/>
    </row>
    <row r="609">
      <c r="B609" s="375"/>
    </row>
    <row r="610">
      <c r="B610" s="375"/>
    </row>
    <row r="611">
      <c r="B611" s="375"/>
    </row>
    <row r="612">
      <c r="B612" s="375"/>
    </row>
    <row r="613">
      <c r="B613" s="375"/>
    </row>
    <row r="614">
      <c r="B614" s="375"/>
    </row>
    <row r="615">
      <c r="B615" s="375"/>
    </row>
    <row r="616">
      <c r="B616" s="375"/>
    </row>
    <row r="617">
      <c r="B617" s="375"/>
    </row>
    <row r="618">
      <c r="B618" s="375"/>
    </row>
    <row r="619">
      <c r="B619" s="375"/>
    </row>
    <row r="620">
      <c r="B620" s="375"/>
    </row>
    <row r="621">
      <c r="B621" s="375"/>
    </row>
    <row r="622">
      <c r="B622" s="375"/>
    </row>
    <row r="623">
      <c r="B623" s="375"/>
    </row>
    <row r="624">
      <c r="B624" s="375"/>
    </row>
    <row r="625">
      <c r="B625" s="375"/>
    </row>
    <row r="626">
      <c r="B626" s="375"/>
    </row>
    <row r="627">
      <c r="B627" s="375"/>
    </row>
    <row r="628">
      <c r="B628" s="375"/>
    </row>
    <row r="629">
      <c r="B629" s="375"/>
    </row>
    <row r="630">
      <c r="B630" s="375"/>
    </row>
    <row r="631">
      <c r="B631" s="375"/>
    </row>
    <row r="632">
      <c r="B632" s="375"/>
    </row>
    <row r="633">
      <c r="B633" s="375"/>
    </row>
    <row r="634">
      <c r="B634" s="375"/>
    </row>
    <row r="635">
      <c r="B635" s="375"/>
    </row>
    <row r="636">
      <c r="B636" s="375"/>
    </row>
    <row r="637">
      <c r="B637" s="375"/>
    </row>
    <row r="638">
      <c r="B638" s="375"/>
    </row>
    <row r="639">
      <c r="B639" s="375"/>
    </row>
    <row r="640">
      <c r="B640" s="375"/>
    </row>
    <row r="641">
      <c r="B641" s="375"/>
    </row>
    <row r="642">
      <c r="B642" s="375"/>
    </row>
    <row r="643">
      <c r="B643" s="375"/>
    </row>
    <row r="644">
      <c r="B644" s="375"/>
    </row>
    <row r="645">
      <c r="B645" s="375"/>
    </row>
    <row r="646">
      <c r="B646" s="375"/>
    </row>
    <row r="647">
      <c r="B647" s="375"/>
    </row>
    <row r="648">
      <c r="B648" s="375"/>
    </row>
    <row r="649">
      <c r="B649" s="375"/>
    </row>
    <row r="650">
      <c r="B650" s="375"/>
    </row>
    <row r="651">
      <c r="B651" s="375"/>
    </row>
    <row r="652">
      <c r="B652" s="375"/>
    </row>
    <row r="653">
      <c r="B653" s="375"/>
    </row>
    <row r="654">
      <c r="B654" s="375"/>
    </row>
    <row r="655">
      <c r="B655" s="375"/>
    </row>
    <row r="656">
      <c r="B656" s="375"/>
    </row>
    <row r="657">
      <c r="B657" s="375"/>
    </row>
    <row r="658">
      <c r="B658" s="375"/>
    </row>
    <row r="659">
      <c r="B659" s="375"/>
    </row>
    <row r="660">
      <c r="B660" s="375"/>
    </row>
    <row r="661">
      <c r="B661" s="375"/>
    </row>
    <row r="662">
      <c r="B662" s="375"/>
    </row>
    <row r="663">
      <c r="B663" s="375"/>
    </row>
    <row r="664">
      <c r="B664" s="375"/>
    </row>
    <row r="665">
      <c r="B665" s="375"/>
    </row>
    <row r="666">
      <c r="B666" s="375"/>
    </row>
    <row r="667">
      <c r="B667" s="375"/>
    </row>
    <row r="668">
      <c r="B668" s="375"/>
    </row>
    <row r="669">
      <c r="B669" s="375"/>
    </row>
    <row r="670">
      <c r="B670" s="375"/>
    </row>
    <row r="671">
      <c r="B671" s="375"/>
    </row>
    <row r="672">
      <c r="B672" s="375"/>
    </row>
    <row r="673">
      <c r="B673" s="375"/>
    </row>
    <row r="674">
      <c r="B674" s="375"/>
    </row>
    <row r="675">
      <c r="B675" s="375"/>
    </row>
    <row r="676">
      <c r="B676" s="375"/>
    </row>
    <row r="677">
      <c r="B677" s="375"/>
    </row>
    <row r="678">
      <c r="B678" s="375"/>
    </row>
    <row r="679">
      <c r="B679" s="375"/>
    </row>
    <row r="680">
      <c r="B680" s="375"/>
    </row>
    <row r="681">
      <c r="B681" s="375"/>
    </row>
    <row r="682">
      <c r="B682" s="375"/>
    </row>
    <row r="683">
      <c r="B683" s="375"/>
    </row>
    <row r="684">
      <c r="B684" s="375"/>
    </row>
    <row r="685">
      <c r="B685" s="375"/>
    </row>
    <row r="686">
      <c r="B686" s="375"/>
    </row>
    <row r="687">
      <c r="B687" s="375"/>
    </row>
    <row r="688">
      <c r="B688" s="375"/>
    </row>
    <row r="689">
      <c r="B689" s="375"/>
    </row>
    <row r="690">
      <c r="B690" s="375"/>
    </row>
    <row r="691">
      <c r="B691" s="375"/>
    </row>
    <row r="692">
      <c r="B692" s="375"/>
    </row>
    <row r="693">
      <c r="B693" s="375"/>
    </row>
    <row r="694">
      <c r="B694" s="375"/>
    </row>
    <row r="695">
      <c r="B695" s="375"/>
    </row>
    <row r="696">
      <c r="B696" s="375"/>
    </row>
    <row r="697">
      <c r="B697" s="375"/>
    </row>
    <row r="698">
      <c r="B698" s="375"/>
    </row>
    <row r="699">
      <c r="B699" s="375"/>
    </row>
    <row r="700">
      <c r="B700" s="375"/>
    </row>
    <row r="701">
      <c r="B701" s="375"/>
    </row>
    <row r="702">
      <c r="B702" s="375"/>
    </row>
    <row r="703">
      <c r="B703" s="375"/>
    </row>
    <row r="704">
      <c r="B704" s="375"/>
    </row>
    <row r="705">
      <c r="B705" s="375"/>
    </row>
    <row r="706">
      <c r="B706" s="375"/>
    </row>
    <row r="707">
      <c r="B707" s="375"/>
    </row>
    <row r="708">
      <c r="B708" s="375"/>
    </row>
    <row r="709">
      <c r="B709" s="375"/>
    </row>
    <row r="710">
      <c r="B710" s="375"/>
    </row>
    <row r="711">
      <c r="B711" s="375"/>
    </row>
    <row r="712">
      <c r="B712" s="375"/>
    </row>
    <row r="713">
      <c r="B713" s="375"/>
    </row>
    <row r="714">
      <c r="B714" s="375"/>
    </row>
    <row r="715">
      <c r="B715" s="375"/>
    </row>
    <row r="716">
      <c r="B716" s="375"/>
    </row>
    <row r="717">
      <c r="B717" s="375"/>
    </row>
    <row r="718">
      <c r="B718" s="375"/>
    </row>
    <row r="719">
      <c r="B719" s="375"/>
    </row>
    <row r="720">
      <c r="B720" s="375"/>
    </row>
    <row r="721">
      <c r="B721" s="375"/>
    </row>
    <row r="722">
      <c r="B722" s="375"/>
    </row>
    <row r="723">
      <c r="B723" s="375"/>
    </row>
    <row r="724">
      <c r="B724" s="375"/>
    </row>
    <row r="725">
      <c r="B725" s="375"/>
    </row>
    <row r="726">
      <c r="B726" s="375"/>
    </row>
    <row r="727">
      <c r="B727" s="375"/>
    </row>
    <row r="728">
      <c r="B728" s="375"/>
    </row>
    <row r="729">
      <c r="B729" s="375"/>
    </row>
    <row r="730">
      <c r="B730" s="375"/>
    </row>
    <row r="731">
      <c r="B731" s="375"/>
    </row>
    <row r="732">
      <c r="B732" s="375"/>
    </row>
    <row r="733">
      <c r="B733" s="375"/>
    </row>
    <row r="734">
      <c r="B734" s="375"/>
    </row>
    <row r="735">
      <c r="B735" s="375"/>
    </row>
    <row r="736">
      <c r="B736" s="375"/>
    </row>
    <row r="737">
      <c r="B737" s="375"/>
    </row>
    <row r="738">
      <c r="B738" s="375"/>
    </row>
    <row r="739">
      <c r="B739" s="375"/>
    </row>
    <row r="740">
      <c r="B740" s="375"/>
    </row>
    <row r="741">
      <c r="B741" s="375"/>
    </row>
    <row r="742">
      <c r="B742" s="375"/>
    </row>
    <row r="743">
      <c r="B743" s="375"/>
    </row>
    <row r="744">
      <c r="B744" s="375"/>
    </row>
    <row r="745">
      <c r="B745" s="375"/>
    </row>
    <row r="746">
      <c r="B746" s="375"/>
    </row>
    <row r="747">
      <c r="B747" s="375"/>
    </row>
    <row r="748">
      <c r="B748" s="375"/>
    </row>
    <row r="749">
      <c r="B749" s="375"/>
    </row>
    <row r="750">
      <c r="B750" s="375"/>
    </row>
    <row r="751">
      <c r="B751" s="375"/>
    </row>
    <row r="752">
      <c r="B752" s="375"/>
    </row>
    <row r="753">
      <c r="B753" s="375"/>
    </row>
    <row r="754">
      <c r="B754" s="375"/>
    </row>
    <row r="755">
      <c r="B755" s="375"/>
    </row>
    <row r="756">
      <c r="B756" s="375"/>
    </row>
    <row r="757">
      <c r="B757" s="375"/>
    </row>
    <row r="758">
      <c r="B758" s="375"/>
    </row>
    <row r="759">
      <c r="B759" s="375"/>
    </row>
    <row r="760">
      <c r="B760" s="375"/>
    </row>
    <row r="761">
      <c r="B761" s="375"/>
    </row>
    <row r="762">
      <c r="B762" s="375"/>
    </row>
    <row r="763">
      <c r="B763" s="375"/>
    </row>
    <row r="764">
      <c r="B764" s="375"/>
    </row>
    <row r="765">
      <c r="B765" s="375"/>
    </row>
    <row r="766">
      <c r="B766" s="375"/>
    </row>
    <row r="767">
      <c r="B767" s="375"/>
    </row>
    <row r="768">
      <c r="B768" s="375"/>
    </row>
    <row r="769">
      <c r="B769" s="375"/>
    </row>
    <row r="770">
      <c r="B770" s="375"/>
    </row>
    <row r="771">
      <c r="B771" s="375"/>
    </row>
    <row r="772">
      <c r="B772" s="375"/>
    </row>
    <row r="773">
      <c r="B773" s="375"/>
    </row>
    <row r="774">
      <c r="B774" s="375"/>
    </row>
    <row r="775">
      <c r="B775" s="375"/>
    </row>
    <row r="776">
      <c r="B776" s="375"/>
    </row>
    <row r="777">
      <c r="B777" s="375"/>
    </row>
    <row r="778">
      <c r="B778" s="375"/>
    </row>
    <row r="779">
      <c r="B779" s="375"/>
    </row>
    <row r="780">
      <c r="B780" s="375"/>
    </row>
    <row r="781">
      <c r="B781" s="375"/>
    </row>
    <row r="782">
      <c r="B782" s="375"/>
    </row>
    <row r="783">
      <c r="B783" s="375"/>
    </row>
    <row r="784">
      <c r="B784" s="375"/>
    </row>
    <row r="785">
      <c r="B785" s="375"/>
    </row>
    <row r="786">
      <c r="B786" s="375"/>
    </row>
    <row r="787">
      <c r="B787" s="375"/>
    </row>
    <row r="788">
      <c r="B788" s="375"/>
    </row>
    <row r="789">
      <c r="B789" s="375"/>
    </row>
    <row r="790">
      <c r="B790" s="375"/>
    </row>
    <row r="791">
      <c r="B791" s="375"/>
    </row>
    <row r="792">
      <c r="B792" s="375"/>
    </row>
    <row r="793">
      <c r="B793" s="375"/>
    </row>
    <row r="794">
      <c r="B794" s="375"/>
    </row>
    <row r="795">
      <c r="B795" s="375"/>
    </row>
    <row r="796">
      <c r="B796" s="375"/>
    </row>
    <row r="797">
      <c r="B797" s="375"/>
    </row>
    <row r="798">
      <c r="B798" s="375"/>
    </row>
    <row r="799">
      <c r="B799" s="375"/>
    </row>
    <row r="800">
      <c r="B800" s="375"/>
    </row>
    <row r="801">
      <c r="B801" s="375"/>
    </row>
    <row r="802">
      <c r="B802" s="375"/>
    </row>
    <row r="803">
      <c r="B803" s="375"/>
    </row>
    <row r="804">
      <c r="B804" s="375"/>
    </row>
    <row r="805">
      <c r="B805" s="375"/>
    </row>
    <row r="806">
      <c r="B806" s="375"/>
    </row>
    <row r="807">
      <c r="B807" s="375"/>
    </row>
    <row r="808">
      <c r="B808" s="375"/>
    </row>
    <row r="809">
      <c r="B809" s="375"/>
    </row>
    <row r="810">
      <c r="B810" s="375"/>
    </row>
    <row r="811">
      <c r="B811" s="375"/>
    </row>
    <row r="812">
      <c r="B812" s="375"/>
    </row>
    <row r="813">
      <c r="B813" s="375"/>
    </row>
    <row r="814">
      <c r="B814" s="375"/>
    </row>
    <row r="815">
      <c r="B815" s="375"/>
    </row>
    <row r="816">
      <c r="B816" s="375"/>
    </row>
    <row r="817">
      <c r="B817" s="375"/>
    </row>
    <row r="818">
      <c r="B818" s="375"/>
    </row>
    <row r="819">
      <c r="B819" s="375"/>
    </row>
    <row r="820">
      <c r="B820" s="375"/>
    </row>
    <row r="821">
      <c r="B821" s="375"/>
    </row>
    <row r="822">
      <c r="B822" s="375"/>
    </row>
    <row r="823">
      <c r="B823" s="375"/>
    </row>
    <row r="824">
      <c r="B824" s="375"/>
    </row>
    <row r="825">
      <c r="B825" s="375"/>
    </row>
    <row r="826">
      <c r="B826" s="375"/>
    </row>
    <row r="827">
      <c r="B827" s="375"/>
    </row>
    <row r="828">
      <c r="B828" s="375"/>
    </row>
    <row r="829">
      <c r="B829" s="375"/>
    </row>
    <row r="830">
      <c r="B830" s="375"/>
    </row>
    <row r="831">
      <c r="B831" s="375"/>
    </row>
    <row r="832">
      <c r="B832" s="375"/>
    </row>
    <row r="833">
      <c r="B833" s="375"/>
    </row>
    <row r="834">
      <c r="B834" s="375"/>
    </row>
    <row r="835">
      <c r="B835" s="375"/>
    </row>
    <row r="836">
      <c r="B836" s="375"/>
    </row>
    <row r="837">
      <c r="B837" s="375"/>
    </row>
    <row r="838">
      <c r="B838" s="375"/>
    </row>
    <row r="839">
      <c r="B839" s="375"/>
    </row>
    <row r="840">
      <c r="B840" s="375"/>
    </row>
    <row r="841">
      <c r="B841" s="375"/>
    </row>
    <row r="842">
      <c r="B842" s="375"/>
    </row>
    <row r="843">
      <c r="B843" s="375"/>
    </row>
    <row r="844">
      <c r="B844" s="375"/>
    </row>
    <row r="845">
      <c r="B845" s="375"/>
    </row>
    <row r="846">
      <c r="B846" s="375"/>
    </row>
    <row r="847">
      <c r="B847" s="375"/>
    </row>
    <row r="848">
      <c r="B848" s="375"/>
    </row>
    <row r="849">
      <c r="B849" s="375"/>
    </row>
    <row r="850">
      <c r="B850" s="375"/>
    </row>
    <row r="851">
      <c r="B851" s="375"/>
    </row>
    <row r="852">
      <c r="B852" s="375"/>
    </row>
    <row r="853">
      <c r="B853" s="375"/>
    </row>
    <row r="854">
      <c r="B854" s="375"/>
    </row>
    <row r="855">
      <c r="B855" s="375"/>
    </row>
    <row r="856">
      <c r="B856" s="375"/>
    </row>
    <row r="857">
      <c r="B857" s="375"/>
    </row>
    <row r="858">
      <c r="B858" s="375"/>
    </row>
    <row r="859">
      <c r="B859" s="375"/>
    </row>
    <row r="860">
      <c r="B860" s="375"/>
    </row>
    <row r="861">
      <c r="B861" s="375"/>
    </row>
    <row r="862">
      <c r="B862" s="375"/>
    </row>
    <row r="863">
      <c r="B863" s="375"/>
    </row>
    <row r="864">
      <c r="B864" s="375"/>
    </row>
    <row r="865">
      <c r="B865" s="375"/>
    </row>
    <row r="866">
      <c r="B866" s="375"/>
    </row>
    <row r="867">
      <c r="B867" s="375"/>
    </row>
    <row r="868">
      <c r="B868" s="375"/>
    </row>
    <row r="869">
      <c r="B869" s="375"/>
    </row>
    <row r="870">
      <c r="B870" s="375"/>
    </row>
    <row r="871">
      <c r="B871" s="375"/>
    </row>
    <row r="872">
      <c r="B872" s="375"/>
    </row>
    <row r="873">
      <c r="B873" s="375"/>
    </row>
    <row r="874">
      <c r="B874" s="375"/>
    </row>
    <row r="875">
      <c r="B875" s="375"/>
    </row>
    <row r="876">
      <c r="B876" s="375"/>
    </row>
    <row r="877">
      <c r="B877" s="375"/>
    </row>
    <row r="878">
      <c r="B878" s="375"/>
    </row>
    <row r="879">
      <c r="B879" s="375"/>
    </row>
    <row r="880">
      <c r="B880" s="375"/>
    </row>
    <row r="881">
      <c r="B881" s="375"/>
    </row>
    <row r="882">
      <c r="B882" s="375"/>
    </row>
    <row r="883">
      <c r="B883" s="375"/>
    </row>
    <row r="884">
      <c r="B884" s="375"/>
    </row>
    <row r="885">
      <c r="B885" s="375"/>
    </row>
    <row r="886">
      <c r="B886" s="375"/>
    </row>
    <row r="887">
      <c r="B887" s="375"/>
    </row>
    <row r="888">
      <c r="B888" s="375"/>
    </row>
    <row r="889">
      <c r="B889" s="375"/>
    </row>
    <row r="890">
      <c r="B890" s="375"/>
    </row>
    <row r="891">
      <c r="B891" s="375"/>
    </row>
    <row r="892">
      <c r="B892" s="375"/>
    </row>
    <row r="893">
      <c r="B893" s="375"/>
    </row>
    <row r="894">
      <c r="B894" s="375"/>
    </row>
    <row r="895">
      <c r="B895" s="375"/>
    </row>
    <row r="896">
      <c r="B896" s="375"/>
    </row>
    <row r="897">
      <c r="B897" s="375"/>
    </row>
    <row r="898">
      <c r="B898" s="375"/>
    </row>
    <row r="899">
      <c r="B899" s="375"/>
    </row>
    <row r="900">
      <c r="B900" s="375"/>
    </row>
    <row r="901">
      <c r="B901" s="375"/>
    </row>
    <row r="902">
      <c r="B902" s="375"/>
    </row>
    <row r="903">
      <c r="B903" s="375"/>
    </row>
    <row r="904">
      <c r="B904" s="375"/>
    </row>
    <row r="905">
      <c r="B905" s="375"/>
    </row>
    <row r="906">
      <c r="B906" s="375"/>
    </row>
    <row r="907">
      <c r="B907" s="375"/>
    </row>
    <row r="908">
      <c r="B908" s="375"/>
    </row>
    <row r="909">
      <c r="B909" s="375"/>
    </row>
    <row r="910">
      <c r="B910" s="375"/>
    </row>
    <row r="911">
      <c r="B911" s="375"/>
    </row>
    <row r="912">
      <c r="B912" s="375"/>
    </row>
    <row r="913">
      <c r="B913" s="375"/>
    </row>
    <row r="914">
      <c r="B914" s="375"/>
    </row>
    <row r="915">
      <c r="B915" s="375"/>
    </row>
    <row r="916">
      <c r="B916" s="375"/>
    </row>
    <row r="917">
      <c r="B917" s="375"/>
    </row>
    <row r="918">
      <c r="B918" s="375"/>
    </row>
    <row r="919">
      <c r="B919" s="375"/>
    </row>
    <row r="920">
      <c r="B920" s="375"/>
    </row>
    <row r="921">
      <c r="B921" s="375"/>
    </row>
    <row r="922">
      <c r="B922" s="375"/>
    </row>
    <row r="923">
      <c r="B923" s="375"/>
    </row>
    <row r="924">
      <c r="B924" s="375"/>
    </row>
    <row r="925">
      <c r="B925" s="375"/>
    </row>
    <row r="926">
      <c r="B926" s="375"/>
    </row>
    <row r="927">
      <c r="B927" s="375"/>
    </row>
    <row r="928">
      <c r="B928" s="375"/>
    </row>
    <row r="929">
      <c r="B929" s="375"/>
    </row>
    <row r="930">
      <c r="B930" s="375"/>
    </row>
    <row r="931">
      <c r="B931" s="375"/>
    </row>
    <row r="932">
      <c r="B932" s="375"/>
    </row>
    <row r="933">
      <c r="B933" s="375"/>
    </row>
    <row r="934">
      <c r="B934" s="375"/>
    </row>
    <row r="935">
      <c r="B935" s="375"/>
    </row>
    <row r="936">
      <c r="B936" s="375"/>
    </row>
    <row r="937">
      <c r="B937" s="375"/>
    </row>
    <row r="938">
      <c r="B938" s="375"/>
    </row>
    <row r="939">
      <c r="B939" s="375"/>
    </row>
    <row r="940">
      <c r="B940" s="375"/>
    </row>
    <row r="941">
      <c r="B941" s="375"/>
    </row>
    <row r="942">
      <c r="B942" s="375"/>
    </row>
    <row r="943">
      <c r="B943" s="375"/>
    </row>
    <row r="944">
      <c r="B944" s="375"/>
    </row>
    <row r="945">
      <c r="B945" s="375"/>
    </row>
    <row r="946">
      <c r="B946" s="375"/>
    </row>
    <row r="947">
      <c r="B947" s="375"/>
    </row>
    <row r="948">
      <c r="B948" s="375"/>
    </row>
    <row r="949">
      <c r="B949" s="375"/>
    </row>
    <row r="950">
      <c r="B950" s="375"/>
    </row>
    <row r="951">
      <c r="B951" s="375"/>
    </row>
    <row r="952">
      <c r="B952" s="375"/>
    </row>
    <row r="953">
      <c r="B953" s="375"/>
    </row>
    <row r="954">
      <c r="B954" s="375"/>
    </row>
    <row r="955">
      <c r="B955" s="375"/>
    </row>
    <row r="956">
      <c r="B956" s="375"/>
    </row>
    <row r="957">
      <c r="B957" s="375"/>
    </row>
    <row r="958">
      <c r="B958" s="375"/>
    </row>
    <row r="959">
      <c r="B959" s="375"/>
    </row>
    <row r="960">
      <c r="B960" s="375"/>
    </row>
    <row r="961">
      <c r="B961" s="375"/>
    </row>
    <row r="962">
      <c r="B962" s="375"/>
    </row>
    <row r="963">
      <c r="B963" s="375"/>
    </row>
    <row r="964">
      <c r="B964" s="375"/>
    </row>
    <row r="965">
      <c r="B965" s="375"/>
    </row>
    <row r="966">
      <c r="B966" s="375"/>
    </row>
    <row r="967">
      <c r="B967" s="375"/>
    </row>
    <row r="968">
      <c r="B968" s="375"/>
    </row>
    <row r="969">
      <c r="B969" s="375"/>
    </row>
    <row r="970">
      <c r="B970" s="375"/>
    </row>
    <row r="971">
      <c r="B971" s="375"/>
    </row>
    <row r="972">
      <c r="B972" s="375"/>
    </row>
    <row r="973">
      <c r="B973" s="375"/>
    </row>
    <row r="974">
      <c r="B974" s="375"/>
    </row>
    <row r="975">
      <c r="B975" s="375"/>
    </row>
    <row r="976">
      <c r="B976" s="375"/>
    </row>
    <row r="977">
      <c r="B977" s="375"/>
    </row>
    <row r="978">
      <c r="B978" s="375"/>
    </row>
    <row r="979">
      <c r="B979" s="375"/>
    </row>
    <row r="980">
      <c r="B980" s="375"/>
    </row>
    <row r="981">
      <c r="B981" s="375"/>
    </row>
    <row r="982">
      <c r="B982" s="375"/>
    </row>
    <row r="983">
      <c r="B983" s="375"/>
    </row>
    <row r="984">
      <c r="B984" s="375"/>
    </row>
    <row r="985">
      <c r="B985" s="375"/>
    </row>
    <row r="986">
      <c r="B986" s="375"/>
    </row>
    <row r="987">
      <c r="B987" s="375"/>
    </row>
    <row r="988">
      <c r="B988" s="375"/>
    </row>
    <row r="989">
      <c r="B989" s="375"/>
    </row>
    <row r="990">
      <c r="B990" s="375"/>
    </row>
    <row r="991">
      <c r="B991" s="375"/>
    </row>
    <row r="992">
      <c r="B992" s="375"/>
    </row>
    <row r="993">
      <c r="B993" s="375"/>
    </row>
    <row r="994">
      <c r="B994" s="375"/>
    </row>
    <row r="995">
      <c r="B995" s="375"/>
    </row>
    <row r="996">
      <c r="B996" s="375"/>
    </row>
    <row r="997">
      <c r="B997" s="375"/>
    </row>
    <row r="998">
      <c r="B998" s="375"/>
    </row>
    <row r="999">
      <c r="B999" s="375"/>
    </row>
    <row r="1000">
      <c r="B1000" s="375"/>
    </row>
    <row r="1001">
      <c r="B1001" s="375"/>
    </row>
  </sheetData>
  <drawing r:id="rId2"/>
</worksheet>
</file>